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DEFB8B8D-C6C5-4676-9442-DA2B6F1E556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Example 6.3 - Pipe P1" sheetId="1" r:id="rId1"/>
    <sheet name="Graph Data" sheetId="2" r:id="rId2"/>
  </sheets>
  <definedNames>
    <definedName name="A">'Example 6.3 - Pipe P1'!$C$23</definedName>
    <definedName name="c_1">'Example 6.3 - Pipe P1'!$C$131</definedName>
    <definedName name="c_2">'Example 6.3 - Pipe P1'!$C$177</definedName>
    <definedName name="CdA">'Example 6.3 - Pipe P1'!$C$47</definedName>
    <definedName name="cp">'Example 6.3 - Pipe P1'!$C$11</definedName>
    <definedName name="D">'Example 6.3 - Pipe P1'!$C$19</definedName>
    <definedName name="f">'Example 6.3 - Pipe P1'!$C$25</definedName>
    <definedName name="Gam">'Example 6.3 - Pipe P1'!$C$5</definedName>
    <definedName name="gc">'Example 6.3 - Pipe P1'!$C$6</definedName>
    <definedName name="h_1">'Example 6.3 - Pipe P1'!$C$139</definedName>
    <definedName name="h_2">'Example 6.3 - Pipe P1'!$C$175</definedName>
    <definedName name="ho_1">'Example 6.3 - Pipe P1'!$C$141</definedName>
    <definedName name="ho_2">'Example 6.3 - Pipe P1'!$C$152</definedName>
    <definedName name="L">'Example 6.3 - Pipe P1'!$C$15</definedName>
    <definedName name="M_1">'Example 6.3 - Pipe P1'!$C$99</definedName>
    <definedName name="M_2">'Example 6.3 - Pipe P1'!$C$83</definedName>
    <definedName name="M_3">'Graph Data'!$F$13</definedName>
    <definedName name="mdot">'Example 6.3 - Pipe P1'!$C$117</definedName>
    <definedName name="P_1">'Example 6.3 - Pipe P1'!$C$122</definedName>
    <definedName name="P_2">'Example 6.3 - Pipe P1'!$C$159</definedName>
    <definedName name="Po_1">'Example 6.3 - Pipe P1'!$C$37</definedName>
    <definedName name="Po_2">'Example 6.3 - Pipe P1'!$C$164</definedName>
    <definedName name="Rg">'Example 6.3 - Pipe P1'!$C$3</definedName>
    <definedName name="rho_1">'Example 6.3 - Pipe P1'!$C$127</definedName>
    <definedName name="rho_2">'Example 6.3 - Pipe P1'!$C$170</definedName>
    <definedName name="T_1">'Example 6.3 - Pipe P1'!$C$124</definedName>
    <definedName name="T_2">'Example 6.3 - Pipe P1'!$C$161</definedName>
    <definedName name="To_1">'Example 6.3 - Pipe P1'!$C$41</definedName>
    <definedName name="To_2">'Example 6.3 - Pipe P1'!$C$166</definedName>
    <definedName name="V_1">'Example 6.3 - Pipe P1'!$C$129</definedName>
    <definedName name="V_2">'Example 6.3 - Pipe P1'!$C$172</definedName>
    <definedName name="Z">'Example 6.3 - Pipe P1'!$C$42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F3" i="2"/>
  <c r="G3" i="2" s="1"/>
  <c r="J3" i="2"/>
  <c r="AD3" i="2" s="1"/>
  <c r="F11" i="2"/>
  <c r="AB11" i="2" s="1"/>
  <c r="A12" i="2"/>
  <c r="E12" i="2"/>
  <c r="G12" i="2"/>
  <c r="AB12" i="2"/>
  <c r="D13" i="2"/>
  <c r="M13" i="2"/>
  <c r="AB13" i="2"/>
  <c r="F14" i="2"/>
  <c r="G14" i="2" s="1"/>
  <c r="P14" i="2"/>
  <c r="P15" i="2" s="1"/>
  <c r="Q14" i="2"/>
  <c r="S14" i="2" s="1"/>
  <c r="R14" i="2"/>
  <c r="G30" i="2"/>
  <c r="AB30" i="2"/>
  <c r="F4" i="2" l="1"/>
  <c r="AD13" i="2"/>
  <c r="AB3" i="2"/>
  <c r="R15" i="2"/>
  <c r="P16" i="2"/>
  <c r="AB14" i="2"/>
  <c r="G11" i="2"/>
  <c r="K3" i="2"/>
  <c r="L14" i="2"/>
  <c r="F15" i="2"/>
  <c r="Q15" i="2"/>
  <c r="N172" i="1"/>
  <c r="N173" i="1"/>
  <c r="N171" i="1"/>
  <c r="N170" i="1"/>
  <c r="N165" i="1"/>
  <c r="N166" i="1"/>
  <c r="N167" i="1"/>
  <c r="N168" i="1"/>
  <c r="N164" i="1"/>
  <c r="G4" i="2" l="1"/>
  <c r="F5" i="2"/>
  <c r="AB4" i="2"/>
  <c r="S15" i="2"/>
  <c r="Q16" i="2"/>
  <c r="AB15" i="2"/>
  <c r="G15" i="2"/>
  <c r="F16" i="2"/>
  <c r="L15" i="2"/>
  <c r="P17" i="2"/>
  <c r="R16" i="2"/>
  <c r="M14" i="2"/>
  <c r="O14" i="2" s="1"/>
  <c r="N14" i="2"/>
  <c r="C38" i="1"/>
  <c r="G5" i="2" l="1"/>
  <c r="AB5" i="2"/>
  <c r="F6" i="2"/>
  <c r="F17" i="2"/>
  <c r="G16" i="2"/>
  <c r="AB16" i="2"/>
  <c r="Q17" i="2"/>
  <c r="S16" i="2"/>
  <c r="L16" i="2"/>
  <c r="R17" i="2"/>
  <c r="P18" i="2"/>
  <c r="L17" i="2"/>
  <c r="N15" i="2"/>
  <c r="M15" i="2"/>
  <c r="O15" i="2" s="1"/>
  <c r="C84" i="1"/>
  <c r="G6" i="2" l="1"/>
  <c r="AB6" i="2"/>
  <c r="F7" i="2"/>
  <c r="R18" i="2"/>
  <c r="P19" i="2"/>
  <c r="M16" i="2"/>
  <c r="O16" i="2" s="1"/>
  <c r="N16" i="2"/>
  <c r="N17" i="2"/>
  <c r="M17" i="2"/>
  <c r="O17" i="2" s="1"/>
  <c r="S17" i="2"/>
  <c r="Q18" i="2"/>
  <c r="G17" i="2"/>
  <c r="F18" i="2"/>
  <c r="AB17" i="2"/>
  <c r="C46" i="1"/>
  <c r="C48" i="1" s="1"/>
  <c r="C47" i="1"/>
  <c r="C101" i="1"/>
  <c r="C115" i="1"/>
  <c r="AB7" i="2" l="1"/>
  <c r="G7" i="2"/>
  <c r="F8" i="2"/>
  <c r="S18" i="2"/>
  <c r="Q19" i="2"/>
  <c r="F19" i="2"/>
  <c r="L19" i="2" s="1"/>
  <c r="AB18" i="2"/>
  <c r="G18" i="2"/>
  <c r="R19" i="2"/>
  <c r="P20" i="2"/>
  <c r="L18" i="2"/>
  <c r="B178" i="1"/>
  <c r="B176" i="1"/>
  <c r="B173" i="1"/>
  <c r="B171" i="1"/>
  <c r="B168" i="1"/>
  <c r="B165" i="1"/>
  <c r="B163" i="1"/>
  <c r="B160" i="1"/>
  <c r="B153" i="1"/>
  <c r="B142" i="1"/>
  <c r="B140" i="1"/>
  <c r="B132" i="1"/>
  <c r="B130" i="1"/>
  <c r="B128" i="1"/>
  <c r="B126" i="1"/>
  <c r="B123" i="1"/>
  <c r="F9" i="2" l="1"/>
  <c r="AB8" i="2"/>
  <c r="G8" i="2"/>
  <c r="M18" i="2"/>
  <c r="O18" i="2" s="1"/>
  <c r="N18" i="2"/>
  <c r="S19" i="2"/>
  <c r="Q20" i="2"/>
  <c r="M19" i="2"/>
  <c r="O19" i="2" s="1"/>
  <c r="N19" i="2"/>
  <c r="G19" i="2"/>
  <c r="F20" i="2"/>
  <c r="L20" i="2" s="1"/>
  <c r="AB19" i="2"/>
  <c r="R20" i="2"/>
  <c r="P21" i="2"/>
  <c r="C40" i="1"/>
  <c r="C18" i="1"/>
  <c r="C22" i="1" s="1"/>
  <c r="C21" i="1"/>
  <c r="C23" i="1" s="1"/>
  <c r="C82" i="1" s="1"/>
  <c r="C85" i="1" s="1"/>
  <c r="C19" i="1"/>
  <c r="C16" i="1"/>
  <c r="C12" i="1"/>
  <c r="C4" i="1"/>
  <c r="C41" i="1"/>
  <c r="P3" i="2" s="1"/>
  <c r="C122" i="1"/>
  <c r="H3" i="2" s="1"/>
  <c r="G9" i="2" l="1"/>
  <c r="AB9" i="2"/>
  <c r="F10" i="2"/>
  <c r="D30" i="2"/>
  <c r="D4" i="2"/>
  <c r="D5" i="2"/>
  <c r="D14" i="2"/>
  <c r="D11" i="2"/>
  <c r="D6" i="2"/>
  <c r="D15" i="2"/>
  <c r="D7" i="2"/>
  <c r="D16" i="2"/>
  <c r="D17" i="2"/>
  <c r="D8" i="2"/>
  <c r="D18" i="2"/>
  <c r="D9" i="2"/>
  <c r="D10" i="2"/>
  <c r="P22" i="2"/>
  <c r="R21" i="2"/>
  <c r="F21" i="2"/>
  <c r="L21" i="2" s="1"/>
  <c r="AB20" i="2"/>
  <c r="D20" i="2"/>
  <c r="G20" i="2"/>
  <c r="AC3" i="2"/>
  <c r="I3" i="2"/>
  <c r="AC13" i="2"/>
  <c r="Q21" i="2"/>
  <c r="S20" i="2"/>
  <c r="D19" i="2"/>
  <c r="M20" i="2"/>
  <c r="O20" i="2" s="1"/>
  <c r="N20" i="2"/>
  <c r="AE20" i="2"/>
  <c r="Q3" i="2"/>
  <c r="R3" i="2"/>
  <c r="P4" i="2"/>
  <c r="C123" i="1"/>
  <c r="C117" i="1"/>
  <c r="C124" i="1"/>
  <c r="L3" i="2" s="1"/>
  <c r="C20" i="1"/>
  <c r="C24" i="1" s="1"/>
  <c r="C98" i="1"/>
  <c r="C102" i="1" s="1"/>
  <c r="C159" i="1"/>
  <c r="AB10" i="2" l="1"/>
  <c r="G10" i="2"/>
  <c r="AE21" i="2"/>
  <c r="M21" i="2"/>
  <c r="O21" i="2" s="1"/>
  <c r="N21" i="2"/>
  <c r="AA16" i="2"/>
  <c r="E16" i="2"/>
  <c r="AA7" i="2"/>
  <c r="E7" i="2"/>
  <c r="E17" i="2"/>
  <c r="AA17" i="2"/>
  <c r="AA15" i="2"/>
  <c r="E15" i="2"/>
  <c r="AA6" i="2"/>
  <c r="E6" i="2"/>
  <c r="L4" i="2"/>
  <c r="R4" i="2"/>
  <c r="P5" i="2"/>
  <c r="AA19" i="2"/>
  <c r="E19" i="2"/>
  <c r="AA11" i="2"/>
  <c r="E11" i="2"/>
  <c r="E14" i="2"/>
  <c r="AA14" i="2"/>
  <c r="AA18" i="2"/>
  <c r="E18" i="2"/>
  <c r="Q22" i="2"/>
  <c r="S21" i="2"/>
  <c r="R22" i="2"/>
  <c r="P23" i="2"/>
  <c r="AA5" i="2"/>
  <c r="E5" i="2"/>
  <c r="E8" i="2"/>
  <c r="AA8" i="2"/>
  <c r="S3" i="2"/>
  <c r="Q4" i="2"/>
  <c r="AE3" i="2"/>
  <c r="AE13" i="2"/>
  <c r="M3" i="2"/>
  <c r="O3" i="2" s="1"/>
  <c r="N3" i="2"/>
  <c r="AE14" i="2"/>
  <c r="AE15" i="2"/>
  <c r="AE16" i="2"/>
  <c r="AE17" i="2"/>
  <c r="AE18" i="2"/>
  <c r="AE19" i="2"/>
  <c r="AA10" i="2"/>
  <c r="E10" i="2"/>
  <c r="AA4" i="2"/>
  <c r="E4" i="2"/>
  <c r="AA20" i="2"/>
  <c r="E20" i="2"/>
  <c r="F22" i="2"/>
  <c r="L22" i="2" s="1"/>
  <c r="AB21" i="2"/>
  <c r="D21" i="2"/>
  <c r="G21" i="2"/>
  <c r="J21" i="2" s="1"/>
  <c r="J16" i="2"/>
  <c r="J5" i="2"/>
  <c r="J14" i="2"/>
  <c r="J19" i="2"/>
  <c r="J17" i="2"/>
  <c r="J4" i="2"/>
  <c r="J15" i="2"/>
  <c r="J20" i="2"/>
  <c r="J18" i="2"/>
  <c r="AA9" i="2"/>
  <c r="E9" i="2"/>
  <c r="AA30" i="2"/>
  <c r="AA12" i="2"/>
  <c r="E30" i="2"/>
  <c r="AA3" i="2"/>
  <c r="AA13" i="2"/>
  <c r="C125" i="1"/>
  <c r="C126" i="1" s="1"/>
  <c r="C160" i="1"/>
  <c r="C164" i="1"/>
  <c r="C165" i="1" s="1"/>
  <c r="C127" i="1"/>
  <c r="T3" i="2" s="1"/>
  <c r="C139" i="1"/>
  <c r="C140" i="1" s="1"/>
  <c r="C161" i="1"/>
  <c r="H21" i="2" l="1"/>
  <c r="K21" i="2"/>
  <c r="AD21" i="2"/>
  <c r="AE22" i="2"/>
  <c r="M22" i="2"/>
  <c r="O22" i="2" s="1"/>
  <c r="N22" i="2"/>
  <c r="S4" i="2"/>
  <c r="Q5" i="2"/>
  <c r="H20" i="2"/>
  <c r="AD20" i="2"/>
  <c r="K20" i="2"/>
  <c r="AD15" i="2"/>
  <c r="H15" i="2"/>
  <c r="K15" i="2"/>
  <c r="H5" i="2"/>
  <c r="AD5" i="2"/>
  <c r="K5" i="2"/>
  <c r="P6" i="2"/>
  <c r="R5" i="2"/>
  <c r="L5" i="2"/>
  <c r="K18" i="2"/>
  <c r="AD18" i="2"/>
  <c r="H18" i="2"/>
  <c r="H14" i="2"/>
  <c r="K14" i="2"/>
  <c r="AD14" i="2"/>
  <c r="H19" i="2"/>
  <c r="K19" i="2"/>
  <c r="AD19" i="2"/>
  <c r="E21" i="2"/>
  <c r="AA21" i="2"/>
  <c r="M4" i="2"/>
  <c r="O4" i="2" s="1"/>
  <c r="N4" i="2"/>
  <c r="AE4" i="2"/>
  <c r="AF3" i="2"/>
  <c r="U3" i="2"/>
  <c r="AF13" i="2"/>
  <c r="V3" i="2"/>
  <c r="R23" i="2"/>
  <c r="P24" i="2"/>
  <c r="AB22" i="2"/>
  <c r="D22" i="2"/>
  <c r="G22" i="2"/>
  <c r="J22" i="2" s="1"/>
  <c r="F23" i="2"/>
  <c r="AD4" i="2"/>
  <c r="H4" i="2"/>
  <c r="K4" i="2"/>
  <c r="AD17" i="2"/>
  <c r="H17" i="2"/>
  <c r="K17" i="2"/>
  <c r="K16" i="2"/>
  <c r="H16" i="2"/>
  <c r="AD16" i="2"/>
  <c r="Q23" i="2"/>
  <c r="S22" i="2"/>
  <c r="C128" i="1"/>
  <c r="M164" i="1"/>
  <c r="M165" i="1" s="1"/>
  <c r="C166" i="1"/>
  <c r="M166" i="1" s="1"/>
  <c r="M167" i="1" s="1"/>
  <c r="M168" i="1" s="1"/>
  <c r="C170" i="1"/>
  <c r="C162" i="1"/>
  <c r="C163" i="1" s="1"/>
  <c r="T14" i="2" l="1"/>
  <c r="I14" i="2"/>
  <c r="V14" i="2"/>
  <c r="AC14" i="2"/>
  <c r="T20" i="2"/>
  <c r="AC20" i="2"/>
  <c r="I20" i="2"/>
  <c r="V20" i="2"/>
  <c r="Q24" i="2"/>
  <c r="S23" i="2"/>
  <c r="I18" i="2"/>
  <c r="AC18" i="2"/>
  <c r="T18" i="2"/>
  <c r="V18" i="2" s="1"/>
  <c r="F24" i="2"/>
  <c r="AB23" i="2"/>
  <c r="D23" i="2"/>
  <c r="G23" i="2"/>
  <c r="J23" i="2" s="1"/>
  <c r="AE5" i="2"/>
  <c r="M5" i="2"/>
  <c r="O5" i="2" s="1"/>
  <c r="N5" i="2"/>
  <c r="R6" i="2"/>
  <c r="L6" i="2"/>
  <c r="P7" i="2"/>
  <c r="J6" i="2"/>
  <c r="AD22" i="2"/>
  <c r="H22" i="2"/>
  <c r="K22" i="2"/>
  <c r="R24" i="2"/>
  <c r="P25" i="2"/>
  <c r="L24" i="2"/>
  <c r="L23" i="2"/>
  <c r="T5" i="2"/>
  <c r="I5" i="2"/>
  <c r="AC5" i="2"/>
  <c r="AC4" i="2"/>
  <c r="T4" i="2"/>
  <c r="I4" i="2"/>
  <c r="E22" i="2"/>
  <c r="AA22" i="2"/>
  <c r="I16" i="2"/>
  <c r="AC16" i="2"/>
  <c r="T16" i="2"/>
  <c r="AC17" i="2"/>
  <c r="T17" i="2"/>
  <c r="I17" i="2"/>
  <c r="V17" i="2"/>
  <c r="T19" i="2"/>
  <c r="V19" i="2" s="1"/>
  <c r="I19" i="2"/>
  <c r="AC19" i="2"/>
  <c r="W3" i="2"/>
  <c r="X3" i="2"/>
  <c r="S5" i="2"/>
  <c r="Q6" i="2"/>
  <c r="AC15" i="2"/>
  <c r="T15" i="2"/>
  <c r="I15" i="2"/>
  <c r="V15" i="2"/>
  <c r="T21" i="2"/>
  <c r="V21" i="2" s="1"/>
  <c r="I21" i="2"/>
  <c r="AC21" i="2"/>
  <c r="C171" i="1"/>
  <c r="C172" i="1"/>
  <c r="C177" i="1" s="1"/>
  <c r="M170" i="1"/>
  <c r="C167" i="1"/>
  <c r="C168" i="1" s="1"/>
  <c r="C129" i="1"/>
  <c r="C131" i="1" s="1"/>
  <c r="C132" i="1" s="1"/>
  <c r="C118" i="1"/>
  <c r="W18" i="2" l="1"/>
  <c r="X18" i="2"/>
  <c r="U16" i="2"/>
  <c r="AF16" i="2"/>
  <c r="N6" i="2"/>
  <c r="M6" i="2"/>
  <c r="O6" i="2" s="1"/>
  <c r="AE6" i="2"/>
  <c r="V16" i="2"/>
  <c r="AE24" i="2"/>
  <c r="N24" i="2"/>
  <c r="M24" i="2"/>
  <c r="O24" i="2" s="1"/>
  <c r="AA23" i="2"/>
  <c r="E23" i="2"/>
  <c r="K23" i="2"/>
  <c r="AD23" i="2"/>
  <c r="H23" i="2"/>
  <c r="AF19" i="2"/>
  <c r="U19" i="2"/>
  <c r="AF20" i="2"/>
  <c r="U20" i="2"/>
  <c r="AF5" i="2"/>
  <c r="U5" i="2"/>
  <c r="AG3" i="2"/>
  <c r="Y3" i="2"/>
  <c r="AG13" i="2"/>
  <c r="W20" i="2"/>
  <c r="X20" i="2"/>
  <c r="AF4" i="2"/>
  <c r="U4" i="2"/>
  <c r="S6" i="2"/>
  <c r="Q7" i="2"/>
  <c r="M23" i="2"/>
  <c r="O23" i="2" s="1"/>
  <c r="N23" i="2"/>
  <c r="AE23" i="2"/>
  <c r="W19" i="2"/>
  <c r="X19" i="2"/>
  <c r="R25" i="2"/>
  <c r="P26" i="2"/>
  <c r="U21" i="2"/>
  <c r="AF21" i="2"/>
  <c r="W17" i="2"/>
  <c r="X17" i="2"/>
  <c r="G24" i="2"/>
  <c r="J24" i="2" s="1"/>
  <c r="AB24" i="2"/>
  <c r="F25" i="2"/>
  <c r="D24" i="2"/>
  <c r="W14" i="2"/>
  <c r="X14" i="2"/>
  <c r="AC22" i="2"/>
  <c r="T22" i="2"/>
  <c r="V22" i="2" s="1"/>
  <c r="I22" i="2"/>
  <c r="AF15" i="2"/>
  <c r="U15" i="2"/>
  <c r="AF17" i="2"/>
  <c r="U17" i="2"/>
  <c r="AD6" i="2"/>
  <c r="H6" i="2"/>
  <c r="K6" i="2"/>
  <c r="S24" i="2"/>
  <c r="Q25" i="2"/>
  <c r="W21" i="2"/>
  <c r="X21" i="2"/>
  <c r="W15" i="2"/>
  <c r="X15" i="2"/>
  <c r="V4" i="2"/>
  <c r="V5" i="2"/>
  <c r="P8" i="2"/>
  <c r="L7" i="2"/>
  <c r="R7" i="2"/>
  <c r="J7" i="2"/>
  <c r="U18" i="2"/>
  <c r="AF18" i="2"/>
  <c r="AF14" i="2"/>
  <c r="U14" i="2"/>
  <c r="M171" i="1"/>
  <c r="M172" i="1"/>
  <c r="M173" i="1" s="1"/>
  <c r="C178" i="1"/>
  <c r="C173" i="1"/>
  <c r="C141" i="1"/>
  <c r="C142" i="1" s="1"/>
  <c r="C130" i="1"/>
  <c r="W22" i="2" l="1"/>
  <c r="X22" i="2"/>
  <c r="M7" i="2"/>
  <c r="O7" i="2" s="1"/>
  <c r="N7" i="2"/>
  <c r="AE7" i="2"/>
  <c r="Y19" i="2"/>
  <c r="AG19" i="2"/>
  <c r="W5" i="2"/>
  <c r="X5" i="2"/>
  <c r="AG15" i="2"/>
  <c r="Y15" i="2"/>
  <c r="AG17" i="2"/>
  <c r="Y17" i="2"/>
  <c r="AB25" i="2"/>
  <c r="G25" i="2"/>
  <c r="J25" i="2" s="1"/>
  <c r="D25" i="2"/>
  <c r="F26" i="2"/>
  <c r="R8" i="2"/>
  <c r="P9" i="2"/>
  <c r="L8" i="2"/>
  <c r="J8" i="2"/>
  <c r="T23" i="2"/>
  <c r="AC23" i="2"/>
  <c r="I23" i="2"/>
  <c r="Q8" i="2"/>
  <c r="S7" i="2"/>
  <c r="AG21" i="2"/>
  <c r="Y21" i="2"/>
  <c r="Q26" i="2"/>
  <c r="S25" i="2"/>
  <c r="AG14" i="2"/>
  <c r="Y14" i="2"/>
  <c r="P27" i="2"/>
  <c r="L26" i="2"/>
  <c r="R26" i="2"/>
  <c r="Y20" i="2"/>
  <c r="AG20" i="2"/>
  <c r="W4" i="2"/>
  <c r="X4" i="2"/>
  <c r="K7" i="2"/>
  <c r="AD7" i="2"/>
  <c r="H7" i="2"/>
  <c r="Y18" i="2"/>
  <c r="AG18" i="2"/>
  <c r="AD24" i="2"/>
  <c r="H24" i="2"/>
  <c r="K24" i="2"/>
  <c r="W16" i="2"/>
  <c r="X16" i="2"/>
  <c r="AF22" i="2"/>
  <c r="U22" i="2"/>
  <c r="AC6" i="2"/>
  <c r="T6" i="2"/>
  <c r="I6" i="2"/>
  <c r="E24" i="2"/>
  <c r="AA24" i="2"/>
  <c r="L25" i="2"/>
  <c r="C152" i="1"/>
  <c r="C175" i="1" s="1"/>
  <c r="C176" i="1" s="1"/>
  <c r="AF23" i="2" l="1"/>
  <c r="U23" i="2"/>
  <c r="R27" i="2"/>
  <c r="P28" i="2"/>
  <c r="AF6" i="2"/>
  <c r="U6" i="2"/>
  <c r="AD8" i="2"/>
  <c r="H8" i="2"/>
  <c r="K8" i="2"/>
  <c r="L9" i="2"/>
  <c r="P10" i="2"/>
  <c r="R9" i="2"/>
  <c r="J9" i="2"/>
  <c r="N26" i="2"/>
  <c r="M26" i="2"/>
  <c r="O26" i="2" s="1"/>
  <c r="AE26" i="2"/>
  <c r="V23" i="2"/>
  <c r="AE8" i="2"/>
  <c r="N8" i="2"/>
  <c r="M8" i="2"/>
  <c r="O8" i="2" s="1"/>
  <c r="AA25" i="2"/>
  <c r="E25" i="2"/>
  <c r="Y16" i="2"/>
  <c r="AG16" i="2"/>
  <c r="S8" i="2"/>
  <c r="Q9" i="2"/>
  <c r="I7" i="2"/>
  <c r="T7" i="2"/>
  <c r="AC7" i="2"/>
  <c r="AG5" i="2"/>
  <c r="Y5" i="2"/>
  <c r="AG22" i="2"/>
  <c r="Y22" i="2"/>
  <c r="V6" i="2"/>
  <c r="S26" i="2"/>
  <c r="Q27" i="2"/>
  <c r="Y4" i="2"/>
  <c r="AG4" i="2"/>
  <c r="G26" i="2"/>
  <c r="J26" i="2" s="1"/>
  <c r="D26" i="2"/>
  <c r="F27" i="2"/>
  <c r="AB26" i="2"/>
  <c r="AD25" i="2"/>
  <c r="H25" i="2"/>
  <c r="K25" i="2"/>
  <c r="M25" i="2"/>
  <c r="O25" i="2" s="1"/>
  <c r="N25" i="2"/>
  <c r="AE25" i="2"/>
  <c r="T24" i="2"/>
  <c r="I24" i="2"/>
  <c r="V24" i="2"/>
  <c r="AC24" i="2"/>
  <c r="C153" i="1"/>
  <c r="W24" i="2" l="1"/>
  <c r="X24" i="2"/>
  <c r="AA26" i="2"/>
  <c r="E26" i="2"/>
  <c r="AC25" i="2"/>
  <c r="I25" i="2"/>
  <c r="T25" i="2"/>
  <c r="V25" i="2"/>
  <c r="AC8" i="2"/>
  <c r="T8" i="2"/>
  <c r="I8" i="2"/>
  <c r="AD26" i="2"/>
  <c r="H26" i="2"/>
  <c r="K26" i="2"/>
  <c r="M9" i="2"/>
  <c r="O9" i="2" s="1"/>
  <c r="N9" i="2"/>
  <c r="AE9" i="2"/>
  <c r="U7" i="2"/>
  <c r="AF7" i="2"/>
  <c r="V7" i="2"/>
  <c r="AB27" i="2"/>
  <c r="D27" i="2"/>
  <c r="F28" i="2"/>
  <c r="L28" i="2" s="1"/>
  <c r="G27" i="2"/>
  <c r="J27" i="2" s="1"/>
  <c r="W23" i="2"/>
  <c r="X23" i="2"/>
  <c r="AF24" i="2"/>
  <c r="U24" i="2"/>
  <c r="L27" i="2"/>
  <c r="Q10" i="2"/>
  <c r="S9" i="2"/>
  <c r="P29" i="2"/>
  <c r="R28" i="2"/>
  <c r="S27" i="2"/>
  <c r="Q28" i="2"/>
  <c r="K9" i="2"/>
  <c r="AD9" i="2"/>
  <c r="H9" i="2"/>
  <c r="W6" i="2"/>
  <c r="X6" i="2"/>
  <c r="R10" i="2"/>
  <c r="P11" i="2"/>
  <c r="L10" i="2"/>
  <c r="J10" i="2"/>
  <c r="AE28" i="2" l="1"/>
  <c r="M28" i="2"/>
  <c r="O28" i="2" s="1"/>
  <c r="N28" i="2"/>
  <c r="R11" i="2"/>
  <c r="P12" i="2"/>
  <c r="L11" i="2"/>
  <c r="J11" i="2"/>
  <c r="S10" i="2"/>
  <c r="Q11" i="2"/>
  <c r="AF8" i="2"/>
  <c r="U8" i="2"/>
  <c r="AG6" i="2"/>
  <c r="Y6" i="2"/>
  <c r="AE10" i="2"/>
  <c r="M10" i="2"/>
  <c r="O10" i="2" s="1"/>
  <c r="N10" i="2"/>
  <c r="N27" i="2"/>
  <c r="AE27" i="2"/>
  <c r="M27" i="2"/>
  <c r="O27" i="2" s="1"/>
  <c r="Y23" i="2"/>
  <c r="AG23" i="2"/>
  <c r="H10" i="2"/>
  <c r="AD10" i="2"/>
  <c r="K10" i="2"/>
  <c r="V8" i="2"/>
  <c r="W7" i="2"/>
  <c r="X7" i="2"/>
  <c r="I9" i="2"/>
  <c r="AC9" i="2"/>
  <c r="T9" i="2"/>
  <c r="Q29" i="2"/>
  <c r="S28" i="2"/>
  <c r="T26" i="2"/>
  <c r="AC26" i="2"/>
  <c r="I26" i="2"/>
  <c r="AG24" i="2"/>
  <c r="Y24" i="2"/>
  <c r="AA27" i="2"/>
  <c r="E27" i="2"/>
  <c r="R29" i="2"/>
  <c r="P30" i="2"/>
  <c r="L29" i="2"/>
  <c r="W25" i="2"/>
  <c r="X25" i="2"/>
  <c r="U25" i="2"/>
  <c r="AF25" i="2"/>
  <c r="AD27" i="2"/>
  <c r="K27" i="2"/>
  <c r="H27" i="2"/>
  <c r="F29" i="2"/>
  <c r="G28" i="2"/>
  <c r="J28" i="2" s="1"/>
  <c r="AB28" i="2"/>
  <c r="D28" i="2"/>
  <c r="S11" i="2" l="1"/>
  <c r="Q12" i="2"/>
  <c r="S12" i="2" s="1"/>
  <c r="S29" i="2"/>
  <c r="Q30" i="2"/>
  <c r="S30" i="2" s="1"/>
  <c r="AC10" i="2"/>
  <c r="T10" i="2"/>
  <c r="I10" i="2"/>
  <c r="V10" i="2"/>
  <c r="AD11" i="2"/>
  <c r="K11" i="2"/>
  <c r="H11" i="2"/>
  <c r="Y25" i="2"/>
  <c r="AG25" i="2"/>
  <c r="K28" i="2"/>
  <c r="AD28" i="2"/>
  <c r="H28" i="2"/>
  <c r="M11" i="2"/>
  <c r="O11" i="2" s="1"/>
  <c r="N11" i="2"/>
  <c r="AE11" i="2"/>
  <c r="L12" i="2"/>
  <c r="R12" i="2"/>
  <c r="J12" i="2"/>
  <c r="AF26" i="2"/>
  <c r="U26" i="2"/>
  <c r="AF9" i="2"/>
  <c r="U9" i="2"/>
  <c r="D29" i="2"/>
  <c r="G29" i="2"/>
  <c r="J29" i="2" s="1"/>
  <c r="AB29" i="2"/>
  <c r="Y7" i="2"/>
  <c r="AG7" i="2"/>
  <c r="AA28" i="2"/>
  <c r="E28" i="2"/>
  <c r="N29" i="2"/>
  <c r="AE29" i="2"/>
  <c r="M29" i="2"/>
  <c r="O29" i="2" s="1"/>
  <c r="L30" i="2"/>
  <c r="R30" i="2"/>
  <c r="J30" i="2"/>
  <c r="V9" i="2"/>
  <c r="I27" i="2"/>
  <c r="AC27" i="2"/>
  <c r="T27" i="2"/>
  <c r="V27" i="2"/>
  <c r="V26" i="2"/>
  <c r="W8" i="2"/>
  <c r="X8" i="2"/>
  <c r="H12" i="2" l="1"/>
  <c r="K12" i="2"/>
  <c r="AD12" i="2"/>
  <c r="AF10" i="2"/>
  <c r="U10" i="2"/>
  <c r="AC11" i="2"/>
  <c r="T11" i="2"/>
  <c r="V11" i="2" s="1"/>
  <c r="I11" i="2"/>
  <c r="M12" i="2"/>
  <c r="O12" i="2" s="1"/>
  <c r="N12" i="2"/>
  <c r="AE12" i="2"/>
  <c r="AD30" i="2"/>
  <c r="H30" i="2"/>
  <c r="K30" i="2"/>
  <c r="W27" i="2"/>
  <c r="X27" i="2"/>
  <c r="AF27" i="2"/>
  <c r="U27" i="2"/>
  <c r="K29" i="2"/>
  <c r="AD29" i="2"/>
  <c r="H29" i="2"/>
  <c r="E29" i="2"/>
  <c r="AA29" i="2"/>
  <c r="AG8" i="2"/>
  <c r="Y8" i="2"/>
  <c r="W26" i="2"/>
  <c r="X26" i="2"/>
  <c r="W10" i="2"/>
  <c r="X10" i="2"/>
  <c r="W9" i="2"/>
  <c r="X9" i="2"/>
  <c r="I28" i="2"/>
  <c r="AC28" i="2"/>
  <c r="T28" i="2"/>
  <c r="M30" i="2"/>
  <c r="O30" i="2" s="1"/>
  <c r="N30" i="2"/>
  <c r="AE30" i="2"/>
  <c r="W11" i="2" l="1"/>
  <c r="X11" i="2"/>
  <c r="U28" i="2"/>
  <c r="AF28" i="2"/>
  <c r="AG10" i="2"/>
  <c r="Y10" i="2"/>
  <c r="AG27" i="2"/>
  <c r="Y27" i="2"/>
  <c r="V28" i="2"/>
  <c r="Y9" i="2"/>
  <c r="AG9" i="2"/>
  <c r="AG26" i="2"/>
  <c r="Y26" i="2"/>
  <c r="I30" i="2"/>
  <c r="AC30" i="2"/>
  <c r="T30" i="2"/>
  <c r="AC29" i="2"/>
  <c r="T29" i="2"/>
  <c r="I29" i="2"/>
  <c r="AF11" i="2"/>
  <c r="U11" i="2"/>
  <c r="I12" i="2"/>
  <c r="AC12" i="2"/>
  <c r="T12" i="2"/>
  <c r="AF29" i="2" l="1"/>
  <c r="U29" i="2"/>
  <c r="W28" i="2"/>
  <c r="X28" i="2"/>
  <c r="Y11" i="2"/>
  <c r="AG11" i="2"/>
  <c r="V29" i="2"/>
  <c r="AF30" i="2"/>
  <c r="U30" i="2"/>
  <c r="U12" i="2"/>
  <c r="AF12" i="2"/>
  <c r="V30" i="2"/>
  <c r="V12" i="2"/>
  <c r="Y28" i="2" l="1"/>
  <c r="AG28" i="2"/>
  <c r="X30" i="2"/>
  <c r="W30" i="2"/>
  <c r="W29" i="2"/>
  <c r="X29" i="2"/>
  <c r="W12" i="2"/>
  <c r="X12" i="2"/>
  <c r="Y12" i="2" l="1"/>
  <c r="AG12" i="2"/>
  <c r="AG29" i="2"/>
  <c r="Y29" i="2"/>
  <c r="Y30" i="2"/>
  <c r="AG30" i="2"/>
</calcChain>
</file>

<file path=xl/sharedStrings.xml><?xml version="1.0" encoding="utf-8"?>
<sst xmlns="http://schemas.openxmlformats.org/spreadsheetml/2006/main" count="241" uniqueCount="129">
  <si>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</si>
  <si>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</si>
  <si>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</si>
  <si>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</si>
  <si>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</si>
  <si>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</si>
  <si>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</si>
  <si>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</si>
  <si>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</si>
  <si>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</si>
  <si>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</si>
  <si>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</si>
  <si>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</si>
  <si>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</si>
  <si>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</si>
  <si>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</si>
  <si>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</si>
  <si>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</si>
  <si>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</si>
  <si>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</si>
  <si>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</si>
  <si>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</si>
  <si>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</si>
  <si>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</si>
  <si>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</si>
  <si>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</si>
  <si>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</si>
  <si>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</si>
  <si>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</si>
  <si>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</si>
  <si>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</si>
  <si>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</si>
  <si>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</si>
  <si>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</si>
  <si>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</si>
  <si>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</si>
  <si>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</si>
  <si>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</si>
  <si>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</si>
  <si>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</si>
  <si>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</si>
  <si>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</si>
  <si>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</si>
  <si>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</si>
  <si>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</si>
  <si>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</si>
  <si>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</si>
  <si>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</si>
  <si>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</si>
  <si>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</si>
  <si>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</si>
  <si>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</si>
  <si>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</si>
  <si>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</si>
  <si>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</si>
  <si>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</si>
  <si>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</si>
  <si>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</si>
  <si>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</si>
  <si>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</si>
  <si>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</si>
  <si>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</si>
  <si>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</si>
  <si>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</si>
  <si>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</si>
  <si>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</si>
  <si>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</si>
  <si>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</si>
  <si>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</si>
  <si>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</si>
  <si>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</si>
  <si>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</si>
  <si>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</si>
  <si>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</si>
  <si>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</si>
  <si>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</si>
  <si>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</si>
  <si>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</si>
  <si>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</si>
  <si>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</si>
  <si>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difference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</si>
  <si>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</si>
  <si>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</si>
  <si>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</si>
  <si>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</si>
  <si>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</si>
  <si>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</si>
  <si>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</si>
  <si>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</si>
  <si>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</si>
  <si>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</si>
  <si>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Choked Flow Calc</t>
  </si>
  <si>
    <t>Actual</t>
  </si>
  <si>
    <t>1. Flow is adiabatic and horizontal - stagnation enthalpy is constant - also if gas is calorically perfect then stagnation temperature is also constant</t>
  </si>
  <si>
    <t>Exit Mach Number, M2 =1 for choked flow, we can find everything else with fundamental relationships</t>
  </si>
  <si>
    <t>Using M1</t>
  </si>
  <si>
    <t>CdA</t>
  </si>
  <si>
    <t>1. At the choke point and immediately upstream at the pipe, the mass flow rate, stagnation temeprature and stagnation pressure are all the same</t>
  </si>
  <si>
    <t>Hence, from the mass conservation equation</t>
  </si>
  <si>
    <t>choked flow area of orifice</t>
  </si>
  <si>
    <t>and applying mass conservation at location 2 in the pipe and the connected orifice we can equate the above at both locations</t>
  </si>
  <si>
    <t>But Morifice is "1" if it is choked, hence we can solve for M2 iteratively from the following</t>
  </si>
  <si>
    <t>EQUATION 1</t>
  </si>
  <si>
    <t>LHS of Eq. 1</t>
  </si>
  <si>
    <t>RHS of Eq. 1</t>
  </si>
  <si>
    <t>2. Now that we know M2 we can iterate for M1</t>
  </si>
  <si>
    <t>P orifice</t>
  </si>
  <si>
    <t>T orifice</t>
  </si>
  <si>
    <t>Rho orifice</t>
  </si>
  <si>
    <t>V orifice</t>
  </si>
  <si>
    <t>x</t>
  </si>
  <si>
    <t>M</t>
  </si>
  <si>
    <t>P</t>
  </si>
  <si>
    <t>Po</t>
  </si>
  <si>
    <t>To</t>
  </si>
  <si>
    <t>rho</t>
  </si>
  <si>
    <t>V</t>
  </si>
  <si>
    <t>x/L</t>
  </si>
  <si>
    <t>P/P1</t>
  </si>
  <si>
    <t>Po/Po1</t>
  </si>
  <si>
    <t>T/T1</t>
  </si>
  <si>
    <t>rho/rho1</t>
  </si>
  <si>
    <t>V/V1</t>
  </si>
  <si>
    <t>(lbm-R/lbf-ft)^0.5</t>
  </si>
  <si>
    <t>K</t>
  </si>
  <si>
    <t>lbm/ft</t>
  </si>
  <si>
    <t>*</t>
  </si>
  <si>
    <t>* = from "Lumped Adiabatic Example - Example 6.3b"</t>
  </si>
  <si>
    <t>Jct Calc CdA=2 in2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</si>
</sst>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"/>
    <numFmt numFmtId="167" formatCode="0.0"/>
    <numFmt numFmtId="168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168" fontId="0" fillId="0" borderId="0" xfId="0" applyNumberFormat="1"/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  <xf numFmtId="165" fontId="0" fillId="3" borderId="0" xfId="0" applyNumberFormat="1" applyFill="1"/>
    <xf numFmtId="0" fontId="1" fillId="6" borderId="0" xfId="0" applyFont="1" applyFill="1" applyAlignment="1">
      <alignment horizontal="center"/>
    </xf>
    <xf numFmtId="0" fontId="0" fillId="6" borderId="0" xfId="0" applyFill="1"/>
    <xf numFmtId="0" fontId="0" fillId="7" borderId="0" xfId="0" applyFill="1"/>
    <xf numFmtId="167" fontId="0" fillId="7" borderId="0" xfId="0" applyNumberFormat="1" applyFill="1"/>
    <xf numFmtId="0" fontId="0" fillId="8" borderId="0" xfId="0" applyFill="1"/>
    <xf numFmtId="0" fontId="0" fillId="8" borderId="0" xfId="0" applyFill="1" applyAlignment="1">
      <alignment horizontal="right"/>
    </xf>
    <xf numFmtId="167" fontId="0" fillId="8" borderId="0" xfId="0" applyNumberFormat="1" applyFill="1"/>
    <xf numFmtId="0" fontId="2" fillId="7" borderId="0" xfId="0" applyFont="1" applyFill="1"/>
    <xf numFmtId="0" fontId="0" fillId="7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1496062992126E-2"/>
          <c:y val="0.18217430975634485"/>
          <c:w val="0.81653512245880511"/>
          <c:h val="0.639360616403636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'Graph Data'!$AB$1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0.12399110165663667</c:v>
                </c:pt>
                <c:pt idx="2">
                  <c:v>0.24183109329492466</c:v>
                </c:pt>
                <c:pt idx="3">
                  <c:v>0.35391506729940525</c:v>
                </c:pt>
                <c:pt idx="4">
                  <c:v>0.46060697873330669</c:v>
                </c:pt>
                <c:pt idx="5">
                  <c:v>0.56224254181117805</c:v>
                </c:pt>
                <c:pt idx="6">
                  <c:v>0.65913181694750322</c:v>
                </c:pt>
                <c:pt idx="7">
                  <c:v>0.75156152558314004</c:v>
                </c:pt>
                <c:pt idx="8">
                  <c:v>0.80000010061887838</c:v>
                </c:pt>
                <c:pt idx="9">
                  <c:v>0.80001690297353623</c:v>
                </c:pt>
                <c:pt idx="10">
                  <c:v>0.80001690297353623</c:v>
                </c:pt>
                <c:pt idx="11">
                  <c:v>0.82115958490160723</c:v>
                </c:pt>
                <c:pt idx="12">
                  <c:v>0.84057630702013508</c:v>
                </c:pt>
                <c:pt idx="13">
                  <c:v>0.85843294596067043</c:v>
                </c:pt>
                <c:pt idx="14">
                  <c:v>0.87487633416051802</c:v>
                </c:pt>
                <c:pt idx="15">
                  <c:v>0.89003680792208062</c:v>
                </c:pt>
                <c:pt idx="16">
                  <c:v>0.9040303674665493</c:v>
                </c:pt>
                <c:pt idx="17">
                  <c:v>0.91696051497724029</c:v>
                </c:pt>
                <c:pt idx="18">
                  <c:v>0.92891982427226139</c:v>
                </c:pt>
                <c:pt idx="19">
                  <c:v>0.93999128590722303</c:v>
                </c:pt>
                <c:pt idx="20">
                  <c:v>0.95024946363396179</c:v>
                </c:pt>
                <c:pt idx="21">
                  <c:v>0.95976149180795089</c:v>
                </c:pt>
                <c:pt idx="22">
                  <c:v>0.96858793821981592</c:v>
                </c:pt>
                <c:pt idx="23">
                  <c:v>0.9767835526732358</c:v>
                </c:pt>
                <c:pt idx="24">
                  <c:v>0.98439791824646927</c:v>
                </c:pt>
                <c:pt idx="25">
                  <c:v>0.99147601940441166</c:v>
                </c:pt>
                <c:pt idx="26">
                  <c:v>0.99805873885193397</c:v>
                </c:pt>
                <c:pt idx="27">
                  <c:v>1</c:v>
                </c:pt>
              </c:numCache>
            </c:numRef>
          </c:xVal>
          <c:yVal>
            <c:numRef>
              <c:f>'Graph Data'!$AB$3:$AB$91</c:f>
              <c:numCache>
                <c:formatCode>General</c:formatCode>
                <c:ptCount val="89"/>
                <c:pt idx="0">
                  <c:v>0.14762323347790815</c:v>
                </c:pt>
                <c:pt idx="1">
                  <c:v>0.15012323347790815</c:v>
                </c:pt>
                <c:pt idx="2">
                  <c:v>0.15262323347790815</c:v>
                </c:pt>
                <c:pt idx="3">
                  <c:v>0.15512323347790816</c:v>
                </c:pt>
                <c:pt idx="4">
                  <c:v>0.15762323347790816</c:v>
                </c:pt>
                <c:pt idx="5">
                  <c:v>0.16012323347790816</c:v>
                </c:pt>
                <c:pt idx="6">
                  <c:v>0.16262323347790816</c:v>
                </c:pt>
                <c:pt idx="7">
                  <c:v>0.16512323347790817</c:v>
                </c:pt>
                <c:pt idx="8">
                  <c:v>0.16648136922389201</c:v>
                </c:pt>
                <c:pt idx="9">
                  <c:v>1</c:v>
                </c:pt>
                <c:pt idx="10">
                  <c:v>0.39631560770926511</c:v>
                </c:pt>
                <c:pt idx="11">
                  <c:v>0.40631560770926511</c:v>
                </c:pt>
                <c:pt idx="12">
                  <c:v>0.41631560770926512</c:v>
                </c:pt>
                <c:pt idx="13">
                  <c:v>0.42631560770926513</c:v>
                </c:pt>
                <c:pt idx="14">
                  <c:v>0.43631560770926514</c:v>
                </c:pt>
                <c:pt idx="15">
                  <c:v>0.44631560770926515</c:v>
                </c:pt>
                <c:pt idx="16">
                  <c:v>0.45631560770926516</c:v>
                </c:pt>
                <c:pt idx="17">
                  <c:v>0.46631560770926517</c:v>
                </c:pt>
                <c:pt idx="18">
                  <c:v>0.47631560770926518</c:v>
                </c:pt>
                <c:pt idx="19">
                  <c:v>0.48631560770926519</c:v>
                </c:pt>
                <c:pt idx="20">
                  <c:v>0.49631560770926519</c:v>
                </c:pt>
                <c:pt idx="21">
                  <c:v>0.5063156077092652</c:v>
                </c:pt>
                <c:pt idx="22">
                  <c:v>0.51631560770926521</c:v>
                </c:pt>
                <c:pt idx="23">
                  <c:v>0.52631560770926522</c:v>
                </c:pt>
                <c:pt idx="24">
                  <c:v>0.53631560770926523</c:v>
                </c:pt>
                <c:pt idx="25">
                  <c:v>0.54631560770926524</c:v>
                </c:pt>
                <c:pt idx="26">
                  <c:v>0.55631560770926525</c:v>
                </c:pt>
                <c:pt idx="27">
                  <c:v>0.55940802804528633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90-47E7-94E2-99B44E5ABB8A}"/>
            </c:ext>
          </c:extLst>
        </c:ser>
        <c:ser>
          <c:idx val="1"/>
          <c:order val="1"/>
          <c:tx>
            <c:strRef>
              <c:f>'Graph Data'!$AC$1</c:f>
              <c:strCache>
                <c:ptCount val="1"/>
                <c:pt idx="0">
                  <c:v>P/P1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0.12399110165663667</c:v>
                </c:pt>
                <c:pt idx="2">
                  <c:v>0.24183109329492466</c:v>
                </c:pt>
                <c:pt idx="3">
                  <c:v>0.35391506729940525</c:v>
                </c:pt>
                <c:pt idx="4">
                  <c:v>0.46060697873330669</c:v>
                </c:pt>
                <c:pt idx="5">
                  <c:v>0.56224254181117805</c:v>
                </c:pt>
                <c:pt idx="6">
                  <c:v>0.65913181694750322</c:v>
                </c:pt>
                <c:pt idx="7">
                  <c:v>0.75156152558314004</c:v>
                </c:pt>
                <c:pt idx="8">
                  <c:v>0.80000010061887838</c:v>
                </c:pt>
                <c:pt idx="9">
                  <c:v>0.80001690297353623</c:v>
                </c:pt>
                <c:pt idx="10">
                  <c:v>0.80001690297353623</c:v>
                </c:pt>
                <c:pt idx="11">
                  <c:v>0.82115958490160723</c:v>
                </c:pt>
                <c:pt idx="12">
                  <c:v>0.84057630702013508</c:v>
                </c:pt>
                <c:pt idx="13">
                  <c:v>0.85843294596067043</c:v>
                </c:pt>
                <c:pt idx="14">
                  <c:v>0.87487633416051802</c:v>
                </c:pt>
                <c:pt idx="15">
                  <c:v>0.89003680792208062</c:v>
                </c:pt>
                <c:pt idx="16">
                  <c:v>0.9040303674665493</c:v>
                </c:pt>
                <c:pt idx="17">
                  <c:v>0.91696051497724029</c:v>
                </c:pt>
                <c:pt idx="18">
                  <c:v>0.92891982427226139</c:v>
                </c:pt>
                <c:pt idx="19">
                  <c:v>0.93999128590722303</c:v>
                </c:pt>
                <c:pt idx="20">
                  <c:v>0.95024946363396179</c:v>
                </c:pt>
                <c:pt idx="21">
                  <c:v>0.95976149180795089</c:v>
                </c:pt>
                <c:pt idx="22">
                  <c:v>0.96858793821981592</c:v>
                </c:pt>
                <c:pt idx="23">
                  <c:v>0.9767835526732358</c:v>
                </c:pt>
                <c:pt idx="24">
                  <c:v>0.98439791824646927</c:v>
                </c:pt>
                <c:pt idx="25">
                  <c:v>0.99147601940441166</c:v>
                </c:pt>
                <c:pt idx="26">
                  <c:v>0.99805873885193397</c:v>
                </c:pt>
                <c:pt idx="27">
                  <c:v>1</c:v>
                </c:pt>
              </c:numCache>
            </c:numRef>
          </c:xVal>
          <c:yVal>
            <c:numRef>
              <c:f>'Graph Data'!$AC$3:$AC$91</c:f>
              <c:numCache>
                <c:formatCode>General</c:formatCode>
                <c:ptCount val="89"/>
                <c:pt idx="0">
                  <c:v>1</c:v>
                </c:pt>
                <c:pt idx="1">
                  <c:v>0.98327414342465125</c:v>
                </c:pt>
                <c:pt idx="2">
                  <c:v>0.96709504546812308</c:v>
                </c:pt>
                <c:pt idx="3">
                  <c:v>0.95143627188225355</c:v>
                </c:pt>
                <c:pt idx="4">
                  <c:v>0.93627306548410649</c:v>
                </c:pt>
                <c:pt idx="5">
                  <c:v>0.92158221523605777</c:v>
                </c:pt>
                <c:pt idx="6">
                  <c:v>0.90734193740164515</c:v>
                </c:pt>
                <c:pt idx="7">
                  <c:v>0.89353176749736696</c:v>
                </c:pt>
                <c:pt idx="8">
                  <c:v>0.88620274469563631</c:v>
                </c:pt>
                <c:pt idx="9">
                  <c:v>0.47732136143871817</c:v>
                </c:pt>
                <c:pt idx="10">
                  <c:v>0.36756810540889545</c:v>
                </c:pt>
                <c:pt idx="11">
                  <c:v>0.35824616431338446</c:v>
                </c:pt>
                <c:pt idx="12">
                  <c:v>0.34936290611581355</c:v>
                </c:pt>
                <c:pt idx="13">
                  <c:v>0.34089046166795045</c:v>
                </c:pt>
                <c:pt idx="14">
                  <c:v>0.33280062885360301</c:v>
                </c:pt>
                <c:pt idx="15">
                  <c:v>0.32506773383001131</c:v>
                </c:pt>
                <c:pt idx="16">
                  <c:v>0.31766835397806342</c:v>
                </c:pt>
                <c:pt idx="17">
                  <c:v>0.31058107649985989</c:v>
                </c:pt>
                <c:pt idx="18">
                  <c:v>0.30378628742485292</c:v>
                </c:pt>
                <c:pt idx="19">
                  <c:v>0.29726598664758536</c:v>
                </c:pt>
                <c:pt idx="20">
                  <c:v>0.29100362532555918</c:v>
                </c:pt>
                <c:pt idx="21">
                  <c:v>0.28498396254588187</c:v>
                </c:pt>
                <c:pt idx="22">
                  <c:v>0.27919293864831429</c:v>
                </c:pt>
                <c:pt idx="23">
                  <c:v>0.27361756298943507</c:v>
                </c:pt>
                <c:pt idx="24">
                  <c:v>0.26824581426307198</c:v>
                </c:pt>
                <c:pt idx="25">
                  <c:v>0.26306655176816834</c:v>
                </c:pt>
                <c:pt idx="26">
                  <c:v>0.25806943624660061</c:v>
                </c:pt>
                <c:pt idx="27">
                  <c:v>0.25655947549085428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90-47E7-94E2-99B44E5ABB8A}"/>
            </c:ext>
          </c:extLst>
        </c:ser>
        <c:ser>
          <c:idx val="2"/>
          <c:order val="2"/>
          <c:tx>
            <c:strRef>
              <c:f>'Graph Data'!$AD$1</c:f>
              <c:strCache>
                <c:ptCount val="1"/>
                <c:pt idx="0">
                  <c:v>Po/Po1</c:v>
                </c:pt>
              </c:strCache>
            </c:strRef>
          </c:tx>
          <c:spPr>
            <a:ln w="19050" cap="rnd">
              <a:solidFill>
                <a:srgbClr val="00FF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0.12399110165663667</c:v>
                </c:pt>
                <c:pt idx="2">
                  <c:v>0.24183109329492466</c:v>
                </c:pt>
                <c:pt idx="3">
                  <c:v>0.35391506729940525</c:v>
                </c:pt>
                <c:pt idx="4">
                  <c:v>0.46060697873330669</c:v>
                </c:pt>
                <c:pt idx="5">
                  <c:v>0.56224254181117805</c:v>
                </c:pt>
                <c:pt idx="6">
                  <c:v>0.65913181694750322</c:v>
                </c:pt>
                <c:pt idx="7">
                  <c:v>0.75156152558314004</c:v>
                </c:pt>
                <c:pt idx="8">
                  <c:v>0.80000010061887838</c:v>
                </c:pt>
                <c:pt idx="9">
                  <c:v>0.80001690297353623</c:v>
                </c:pt>
                <c:pt idx="10">
                  <c:v>0.80001690297353623</c:v>
                </c:pt>
                <c:pt idx="11">
                  <c:v>0.82115958490160723</c:v>
                </c:pt>
                <c:pt idx="12">
                  <c:v>0.84057630702013508</c:v>
                </c:pt>
                <c:pt idx="13">
                  <c:v>0.85843294596067043</c:v>
                </c:pt>
                <c:pt idx="14">
                  <c:v>0.87487633416051802</c:v>
                </c:pt>
                <c:pt idx="15">
                  <c:v>0.89003680792208062</c:v>
                </c:pt>
                <c:pt idx="16">
                  <c:v>0.9040303674665493</c:v>
                </c:pt>
                <c:pt idx="17">
                  <c:v>0.91696051497724029</c:v>
                </c:pt>
                <c:pt idx="18">
                  <c:v>0.92891982427226139</c:v>
                </c:pt>
                <c:pt idx="19">
                  <c:v>0.93999128590722303</c:v>
                </c:pt>
                <c:pt idx="20">
                  <c:v>0.95024946363396179</c:v>
                </c:pt>
                <c:pt idx="21">
                  <c:v>0.95976149180795089</c:v>
                </c:pt>
                <c:pt idx="22">
                  <c:v>0.96858793821981592</c:v>
                </c:pt>
                <c:pt idx="23">
                  <c:v>0.9767835526732358</c:v>
                </c:pt>
                <c:pt idx="24">
                  <c:v>0.98439791824646927</c:v>
                </c:pt>
                <c:pt idx="25">
                  <c:v>0.99147601940441166</c:v>
                </c:pt>
                <c:pt idx="26">
                  <c:v>0.99805873885193397</c:v>
                </c:pt>
                <c:pt idx="27">
                  <c:v>1</c:v>
                </c:pt>
              </c:numCache>
            </c:numRef>
          </c:xVal>
          <c:yVal>
            <c:numRef>
              <c:f>'Graph Data'!$AD$3:$AD$91</c:f>
              <c:numCache>
                <c:formatCode>General</c:formatCode>
                <c:ptCount val="89"/>
                <c:pt idx="0">
                  <c:v>1</c:v>
                </c:pt>
                <c:pt idx="1">
                  <c:v>0.9837843557914967</c:v>
                </c:pt>
                <c:pt idx="2">
                  <c:v>0.96810729741223567</c:v>
                </c:pt>
                <c:pt idx="3">
                  <c:v>0.95294279140802818</c:v>
                </c:pt>
                <c:pt idx="4">
                  <c:v>0.93826645605654424</c:v>
                </c:pt>
                <c:pt idx="5">
                  <c:v>0.92405543242514898</c:v>
                </c:pt>
                <c:pt idx="6">
                  <c:v>0.91028826732207979</c:v>
                </c:pt>
                <c:pt idx="7">
                  <c:v>0.89694480688048228</c:v>
                </c:pt>
                <c:pt idx="8">
                  <c:v>0.88986674635406049</c:v>
                </c:pt>
                <c:pt idx="9">
                  <c:v>0.88988633508527104</c:v>
                </c:pt>
                <c:pt idx="10">
                  <c:v>0.40340524633781905</c:v>
                </c:pt>
                <c:pt idx="11">
                  <c:v>0.39532034451361797</c:v>
                </c:pt>
                <c:pt idx="12">
                  <c:v>0.38767107290566744</c:v>
                </c:pt>
                <c:pt idx="13">
                  <c:v>0.380430448449809</c:v>
                </c:pt>
                <c:pt idx="14">
                  <c:v>0.37357080276518528</c:v>
                </c:pt>
                <c:pt idx="15">
                  <c:v>0.36706695829688152</c:v>
                </c:pt>
                <c:pt idx="16">
                  <c:v>0.36089595546727793</c:v>
                </c:pt>
                <c:pt idx="17">
                  <c:v>0.35503681493614919</c:v>
                </c:pt>
                <c:pt idx="18">
                  <c:v>0.34947032980988452</c:v>
                </c:pt>
                <c:pt idx="19">
                  <c:v>0.3441788834889703</c:v>
                </c:pt>
                <c:pt idx="20">
                  <c:v>0.33914628953772669</c:v>
                </c:pt>
                <c:pt idx="21">
                  <c:v>0.33435765053164807</c:v>
                </c:pt>
                <c:pt idx="22">
                  <c:v>0.32979923330943345</c:v>
                </c:pt>
                <c:pt idx="23">
                  <c:v>0.32545835844788651</c:v>
                </c:pt>
                <c:pt idx="24">
                  <c:v>0.32132330210331195</c:v>
                </c:pt>
                <c:pt idx="25">
                  <c:v>0.31738320863487607</c:v>
                </c:pt>
                <c:pt idx="26">
                  <c:v>0.31362801265326135</c:v>
                </c:pt>
                <c:pt idx="27">
                  <c:v>0.31250270378021272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90-47E7-94E2-99B44E5ABB8A}"/>
            </c:ext>
          </c:extLst>
        </c:ser>
        <c:ser>
          <c:idx val="3"/>
          <c:order val="3"/>
          <c:tx>
            <c:strRef>
              <c:f>'Graph Data'!$AE$1</c:f>
              <c:strCache>
                <c:ptCount val="1"/>
                <c:pt idx="0">
                  <c:v>T/T1</c:v>
                </c:pt>
              </c:strCache>
            </c:strRef>
          </c:tx>
          <c:spPr>
            <a:ln w="19050" cap="rnd">
              <a:solidFill>
                <a:srgbClr val="FF99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 Data'!$AA$3:$AA$91</c:f>
              <c:numCache>
                <c:formatCode>General</c:formatCode>
                <c:ptCount val="89"/>
                <c:pt idx="0">
                  <c:v>0</c:v>
                </c:pt>
                <c:pt idx="1">
                  <c:v>0.12399110165663667</c:v>
                </c:pt>
                <c:pt idx="2">
                  <c:v>0.24183109329492466</c:v>
                </c:pt>
                <c:pt idx="3">
                  <c:v>0.35391506729940525</c:v>
                </c:pt>
                <c:pt idx="4">
                  <c:v>0.46060697873330669</c:v>
                </c:pt>
                <c:pt idx="5">
                  <c:v>0.56224254181117805</c:v>
                </c:pt>
                <c:pt idx="6">
                  <c:v>0.65913181694750322</c:v>
                </c:pt>
                <c:pt idx="7">
                  <c:v>0.75156152558314004</c:v>
                </c:pt>
                <c:pt idx="8">
                  <c:v>0.80000010061887838</c:v>
                </c:pt>
                <c:pt idx="9">
                  <c:v>0.80001690297353623</c:v>
                </c:pt>
                <c:pt idx="10">
                  <c:v>0.80001690297353623</c:v>
                </c:pt>
                <c:pt idx="11">
                  <c:v>0.82115958490160723</c:v>
                </c:pt>
                <c:pt idx="12">
                  <c:v>0.84057630702013508</c:v>
                </c:pt>
                <c:pt idx="13">
                  <c:v>0.85843294596067043</c:v>
                </c:pt>
                <c:pt idx="14">
                  <c:v>0.87487633416051802</c:v>
                </c:pt>
                <c:pt idx="15">
                  <c:v>0.89003680792208062</c:v>
                </c:pt>
                <c:pt idx="16">
                  <c:v>0.9040303674665493</c:v>
                </c:pt>
                <c:pt idx="17">
                  <c:v>0.91696051497724029</c:v>
                </c:pt>
                <c:pt idx="18">
                  <c:v>0.92891982427226139</c:v>
                </c:pt>
                <c:pt idx="19">
                  <c:v>0.93999128590722303</c:v>
                </c:pt>
                <c:pt idx="20">
                  <c:v>0.95024946363396179</c:v>
                </c:pt>
                <c:pt idx="21">
                  <c:v>0.95976149180795089</c:v>
                </c:pt>
                <c:pt idx="22">
                  <c:v>0.96858793821981592</c:v>
                </c:pt>
                <c:pt idx="23">
                  <c:v>0.9767835526732358</c:v>
                </c:pt>
                <c:pt idx="24">
                  <c:v>0.98439791824646927</c:v>
                </c:pt>
                <c:pt idx="25">
                  <c:v>0.99147601940441166</c:v>
                </c:pt>
                <c:pt idx="26">
                  <c:v>0.99805873885193397</c:v>
                </c:pt>
                <c:pt idx="27">
                  <c:v>1</c:v>
                </c:pt>
              </c:numCache>
            </c:numRef>
          </c:xVal>
          <c:yVal>
            <c:numRef>
              <c:f>'Graph Data'!$AE$3:$AE$91</c:f>
              <c:numCache>
                <c:formatCode>General</c:formatCode>
                <c:ptCount val="89"/>
                <c:pt idx="0">
                  <c:v>1</c:v>
                </c:pt>
                <c:pt idx="1">
                  <c:v>0.99985179478626462</c:v>
                </c:pt>
                <c:pt idx="2">
                  <c:v>0.9997011458259879</c:v>
                </c:pt>
                <c:pt idx="3">
                  <c:v>0.99954805534806357</c:v>
                </c:pt>
                <c:pt idx="4">
                  <c:v>0.99939252561647318</c:v>
                </c:pt>
                <c:pt idx="5">
                  <c:v>0.99923455893020252</c:v>
                </c:pt>
                <c:pt idx="6">
                  <c:v>0.99907415762315777</c:v>
                </c:pt>
                <c:pt idx="7">
                  <c:v>0.99891132406407956</c:v>
                </c:pt>
                <c:pt idx="8">
                  <c:v>0.99882184531074525</c:v>
                </c:pt>
                <c:pt idx="9">
                  <c:v>0.83696543651041233</c:v>
                </c:pt>
                <c:pt idx="10">
                  <c:v>0.97376930210827728</c:v>
                </c:pt>
                <c:pt idx="11">
                  <c:v>0.97225611012246926</c:v>
                </c:pt>
                <c:pt idx="12">
                  <c:v>0.97071008469037523</c:v>
                </c:pt>
                <c:pt idx="13">
                  <c:v>0.9691315612028325</c:v>
                </c:pt>
                <c:pt idx="14">
                  <c:v>0.96752088041202688</c:v>
                </c:pt>
                <c:pt idx="15">
                  <c:v>0.96587838825696992</c:v>
                </c:pt>
                <c:pt idx="16">
                  <c:v>0.96420443568769887</c:v>
                </c:pt>
                <c:pt idx="17">
                  <c:v>0.96249937848836342</c:v>
                </c:pt>
                <c:pt idx="18">
                  <c:v>0.96076357709934879</c:v>
                </c:pt>
                <c:pt idx="19">
                  <c:v>0.95899739643859094</c:v>
                </c:pt>
                <c:pt idx="20">
                  <c:v>0.95720120572223832</c:v>
                </c:pt>
                <c:pt idx="21">
                  <c:v>0.95537537828481056</c:v>
                </c:pt>
                <c:pt idx="22">
                  <c:v>0.95352029139900252</c:v>
                </c:pt>
                <c:pt idx="23">
                  <c:v>0.95163632609528537</c:v>
                </c:pt>
                <c:pt idx="24">
                  <c:v>0.94972386698144673</c:v>
                </c:pt>
                <c:pt idx="25">
                  <c:v>0.94778330206221728</c:v>
                </c:pt>
                <c:pt idx="26">
                  <c:v>0.94581502255912075</c:v>
                </c:pt>
                <c:pt idx="27">
                  <c:v>0.94520079872085805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90-47E7-94E2-99B44E5AB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01887"/>
        <c:axId val="201514367"/>
      </c:scatterChart>
      <c:valAx>
        <c:axId val="2015018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x/L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14367"/>
        <c:crosses val="autoZero"/>
        <c:crossBetween val="midCat"/>
        <c:majorUnit val="1"/>
        <c:minorUnit val="0.1"/>
      </c:valAx>
      <c:valAx>
        <c:axId val="2015143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\-#,##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01887"/>
        <c:crosses val="autoZero"/>
        <c:crossBetween val="midCat"/>
        <c:majorUnit val="1"/>
        <c:min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99</xdr:row>
      <xdr:rowOff>28575</xdr:rowOff>
    </xdr:from>
    <xdr:to>
      <xdr:col>14</xdr:col>
      <xdr:colOff>255878</xdr:colOff>
      <xdr:row>104</xdr:row>
      <xdr:rowOff>89879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2E000000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9E53B102-9325-4FBB-87B6-8151D4B4E794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533400</xdr:colOff>
          <xdr:row>115</xdr:row>
          <xdr:rowOff>95250</xdr:rowOff>
        </xdr:from>
        <xdr:to>
          <xdr:col>8</xdr:col>
          <xdr:colOff>495300</xdr:colOff>
          <xdr:row>119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647700</xdr:colOff>
      <xdr:row>116</xdr:row>
      <xdr:rowOff>0</xdr:rowOff>
    </xdr:from>
    <xdr:to>
      <xdr:col>5</xdr:col>
      <xdr:colOff>600075</xdr:colOff>
      <xdr:row>116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3143250" y="11782425"/>
          <a:ext cx="154305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121</xdr:row>
      <xdr:rowOff>95250</xdr:rowOff>
    </xdr:from>
    <xdr:to>
      <xdr:col>5</xdr:col>
      <xdr:colOff>104775</xdr:colOff>
      <xdr:row>122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123</xdr:row>
      <xdr:rowOff>114300</xdr:rowOff>
    </xdr:from>
    <xdr:to>
      <xdr:col>5</xdr:col>
      <xdr:colOff>161925</xdr:colOff>
      <xdr:row>127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126</xdr:row>
      <xdr:rowOff>123825</xdr:rowOff>
    </xdr:from>
    <xdr:to>
      <xdr:col>5</xdr:col>
      <xdr:colOff>152400</xdr:colOff>
      <xdr:row>129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128</xdr:row>
      <xdr:rowOff>114300</xdr:rowOff>
    </xdr:from>
    <xdr:to>
      <xdr:col>5</xdr:col>
      <xdr:colOff>161925</xdr:colOff>
      <xdr:row>131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130</xdr:row>
      <xdr:rowOff>133350</xdr:rowOff>
    </xdr:from>
    <xdr:to>
      <xdr:col>5</xdr:col>
      <xdr:colOff>190500</xdr:colOff>
      <xdr:row>134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140</xdr:row>
      <xdr:rowOff>142875</xdr:rowOff>
    </xdr:from>
    <xdr:to>
      <xdr:col>5</xdr:col>
      <xdr:colOff>209550</xdr:colOff>
      <xdr:row>141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140</xdr:row>
      <xdr:rowOff>85725</xdr:rowOff>
    </xdr:from>
    <xdr:to>
      <xdr:col>2</xdr:col>
      <xdr:colOff>247651</xdr:colOff>
      <xdr:row>151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158</xdr:row>
      <xdr:rowOff>114300</xdr:rowOff>
    </xdr:from>
    <xdr:to>
      <xdr:col>4</xdr:col>
      <xdr:colOff>552450</xdr:colOff>
      <xdr:row>159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160</xdr:row>
      <xdr:rowOff>104775</xdr:rowOff>
    </xdr:from>
    <xdr:to>
      <xdr:col>4</xdr:col>
      <xdr:colOff>571500</xdr:colOff>
      <xdr:row>163</xdr:row>
      <xdr:rowOff>104775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163</xdr:row>
      <xdr:rowOff>114299</xdr:rowOff>
    </xdr:from>
    <xdr:to>
      <xdr:col>4</xdr:col>
      <xdr:colOff>590550</xdr:colOff>
      <xdr:row>168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165</xdr:row>
      <xdr:rowOff>133349</xdr:rowOff>
    </xdr:from>
    <xdr:to>
      <xdr:col>4</xdr:col>
      <xdr:colOff>561975</xdr:colOff>
      <xdr:row>173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169</xdr:row>
      <xdr:rowOff>123826</xdr:rowOff>
    </xdr:from>
    <xdr:to>
      <xdr:col>4</xdr:col>
      <xdr:colOff>581028</xdr:colOff>
      <xdr:row>176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171</xdr:row>
      <xdr:rowOff>95254</xdr:rowOff>
    </xdr:from>
    <xdr:to>
      <xdr:col>4</xdr:col>
      <xdr:colOff>590553</xdr:colOff>
      <xdr:row>179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174</xdr:row>
      <xdr:rowOff>104777</xdr:rowOff>
    </xdr:from>
    <xdr:to>
      <xdr:col>5</xdr:col>
      <xdr:colOff>19050</xdr:colOff>
      <xdr:row>181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111</xdr:row>
          <xdr:rowOff>57150</xdr:rowOff>
        </xdr:from>
        <xdr:to>
          <xdr:col>11</xdr:col>
          <xdr:colOff>600075</xdr:colOff>
          <xdr:row>115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139</xdr:row>
          <xdr:rowOff>114300</xdr:rowOff>
        </xdr:from>
        <xdr:to>
          <xdr:col>7</xdr:col>
          <xdr:colOff>285750</xdr:colOff>
          <xdr:row>143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129</xdr:row>
          <xdr:rowOff>19050</xdr:rowOff>
        </xdr:from>
        <xdr:to>
          <xdr:col>7</xdr:col>
          <xdr:colOff>38100</xdr:colOff>
          <xdr:row>130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132</xdr:row>
          <xdr:rowOff>180975</xdr:rowOff>
        </xdr:from>
        <xdr:to>
          <xdr:col>9</xdr:col>
          <xdr:colOff>104775</xdr:colOff>
          <xdr:row>136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120</xdr:row>
          <xdr:rowOff>76200</xdr:rowOff>
        </xdr:from>
        <xdr:to>
          <xdr:col>9</xdr:col>
          <xdr:colOff>352425</xdr:colOff>
          <xdr:row>125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125</xdr:row>
          <xdr:rowOff>85725</xdr:rowOff>
        </xdr:from>
        <xdr:to>
          <xdr:col>8</xdr:col>
          <xdr:colOff>247650</xdr:colOff>
          <xdr:row>128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131</xdr:row>
          <xdr:rowOff>0</xdr:rowOff>
        </xdr:from>
        <xdr:to>
          <xdr:col>6</xdr:col>
          <xdr:colOff>552450</xdr:colOff>
          <xdr:row>132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166</xdr:row>
          <xdr:rowOff>76200</xdr:rowOff>
        </xdr:from>
        <xdr:to>
          <xdr:col>9</xdr:col>
          <xdr:colOff>219075</xdr:colOff>
          <xdr:row>171</xdr:row>
          <xdr:rowOff>19050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171</xdr:row>
          <xdr:rowOff>123825</xdr:rowOff>
        </xdr:from>
        <xdr:to>
          <xdr:col>8</xdr:col>
          <xdr:colOff>66675</xdr:colOff>
          <xdr:row>174</xdr:row>
          <xdr:rowOff>171450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156</xdr:row>
          <xdr:rowOff>171450</xdr:rowOff>
        </xdr:from>
        <xdr:to>
          <xdr:col>9</xdr:col>
          <xdr:colOff>171450</xdr:colOff>
          <xdr:row>161</xdr:row>
          <xdr:rowOff>57150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161</xdr:row>
          <xdr:rowOff>161925</xdr:rowOff>
        </xdr:from>
        <xdr:to>
          <xdr:col>8</xdr:col>
          <xdr:colOff>180975</xdr:colOff>
          <xdr:row>165</xdr:row>
          <xdr:rowOff>180975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176</xdr:row>
          <xdr:rowOff>76200</xdr:rowOff>
        </xdr:from>
        <xdr:to>
          <xdr:col>6</xdr:col>
          <xdr:colOff>485775</xdr:colOff>
          <xdr:row>177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178</xdr:row>
          <xdr:rowOff>66675</xdr:rowOff>
        </xdr:from>
        <xdr:to>
          <xdr:col>6</xdr:col>
          <xdr:colOff>381000</xdr:colOff>
          <xdr:row>179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180</xdr:row>
          <xdr:rowOff>38100</xdr:rowOff>
        </xdr:from>
        <xdr:to>
          <xdr:col>7</xdr:col>
          <xdr:colOff>66675</xdr:colOff>
          <xdr:row>183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132</xdr:row>
      <xdr:rowOff>171450</xdr:rowOff>
    </xdr:from>
    <xdr:to>
      <xdr:col>6</xdr:col>
      <xdr:colOff>472234</xdr:colOff>
      <xdr:row>136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184</xdr:row>
      <xdr:rowOff>76200</xdr:rowOff>
    </xdr:from>
    <xdr:to>
      <xdr:col>6</xdr:col>
      <xdr:colOff>300784</xdr:colOff>
      <xdr:row>187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25</xdr:row>
      <xdr:rowOff>161830</xdr:rowOff>
    </xdr:from>
    <xdr:to>
      <xdr:col>5</xdr:col>
      <xdr:colOff>170954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4943380"/>
          <a:ext cx="397142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176</xdr:row>
      <xdr:rowOff>114302</xdr:rowOff>
    </xdr:from>
    <xdr:to>
      <xdr:col>5</xdr:col>
      <xdr:colOff>19050</xdr:colOff>
      <xdr:row>186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100</xdr:row>
      <xdr:rowOff>19050</xdr:rowOff>
    </xdr:from>
    <xdr:to>
      <xdr:col>4</xdr:col>
      <xdr:colOff>514350</xdr:colOff>
      <xdr:row>100</xdr:row>
      <xdr:rowOff>123825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 flipV="1">
          <a:off x="2571750" y="9191625"/>
          <a:ext cx="14192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113</xdr:row>
      <xdr:rowOff>47625</xdr:rowOff>
    </xdr:from>
    <xdr:to>
      <xdr:col>4</xdr:col>
      <xdr:colOff>447675</xdr:colOff>
      <xdr:row>114</xdr:row>
      <xdr:rowOff>76200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 flipV="1">
          <a:off x="2543175" y="10744200"/>
          <a:ext cx="1381125" cy="219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52</xdr:row>
          <xdr:rowOff>85725</xdr:rowOff>
        </xdr:from>
        <xdr:to>
          <xdr:col>4</xdr:col>
          <xdr:colOff>219075</xdr:colOff>
          <xdr:row>56</xdr:row>
          <xdr:rowOff>9525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52</xdr:row>
          <xdr:rowOff>76200</xdr:rowOff>
        </xdr:from>
        <xdr:to>
          <xdr:col>11</xdr:col>
          <xdr:colOff>581025</xdr:colOff>
          <xdr:row>56</xdr:row>
          <xdr:rowOff>57150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200025</xdr:colOff>
      <xdr:row>58</xdr:row>
      <xdr:rowOff>95250</xdr:rowOff>
    </xdr:from>
    <xdr:to>
      <xdr:col>11</xdr:col>
      <xdr:colOff>17499</xdr:colOff>
      <xdr:row>67</xdr:row>
      <xdr:rowOff>128921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Object 40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1933575" y="11172825"/>
              <a:ext cx="5827749" cy="174817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US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𝑑</m:t>
                        </m:r>
                      </m:sub>
                    </m:sSub>
                    <m:r>
                      <a:rPr lang="en-US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𝐴</m:t>
                    </m:r>
                    <m:d>
                      <m:dPr>
                        <m:begChr m:val="["/>
                        <m:endChr m:val="]"/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𝑜𝑟𝑖𝑓𝑖𝑐𝑒</m:t>
                            </m:r>
                          </m:sub>
                        </m:sSub>
                        <m:sSup>
                          <m:sSup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𝑜𝑟𝑖𝑓𝑖𝑐𝑒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  <m:sup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type m:val="lin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+1</m:t>
                                    </m:r>
                                  </m:e>
                                </m:d>
                              </m:num>
                              <m:den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  <m:d>
                                      <m:d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e>
                                    </m:d>
                                  </m:e>
                                </m:d>
                              </m:den>
                            </m:f>
                          </m:sup>
                        </m:sSup>
                      </m:e>
                    </m:d>
                  </m:oMath>
                </m:oMathPara>
              </a14:m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𝐴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sub>
                    </m:sSub>
                    <m:d>
                      <m:dPr>
                        <m:begChr m:val="["/>
                        <m:endChr m:val="]"/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  <m:sSup>
                          <m:sSup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  <m:sup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type m:val="lin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+1</m:t>
                                    </m:r>
                                  </m:e>
                                </m:d>
                              </m:num>
                              <m:den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  <m:d>
                                      <m:d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e>
                                    </m:d>
                                  </m:e>
                                </m:d>
                              </m:den>
                            </m:f>
                          </m:sup>
                        </m:sSup>
                      </m:e>
                    </m:d>
                  </m:oMath>
                </m:oMathPara>
              </a14:m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Choice>
      <mc:Fallback xmlns="">
        <xdr:sp macro="" textlink="">
          <xdr:nvSpPr>
            <xdr:cNvPr id="6" name="Object 40">
              <a:extLst>
                <a:ext uri="{FF2B5EF4-FFF2-40B4-BE49-F238E27FC236}">
                  <a16:creationId xmlns:a16="http://schemas.microsoft.com/office/drawing/2014/main" id="{2169C68C-3179-39B6-A743-21ADCE70EE6A}"/>
                </a:ext>
              </a:extLst>
            </xdr:cNvPr>
            <xdr:cNvSpPr txBox="1"/>
          </xdr:nvSpPr>
          <xdr:spPr>
            <a:xfrm>
              <a:off x="1933575" y="11172825"/>
              <a:ext cx="5827749" cy="174817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𝐶_𝑑 𝐴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[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𝑀_𝑜𝑟𝑖𝑓𝑖𝑐𝑒 (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𝑀_𝑜𝑟𝑖𝑓𝑖𝑐𝑒〗^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 ]</a:t>
              </a:r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𝐴_2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[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 (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 ]</a:t>
              </a:r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2</xdr:col>
      <xdr:colOff>142875</xdr:colOff>
      <xdr:row>71</xdr:row>
      <xdr:rowOff>47625</xdr:rowOff>
    </xdr:from>
    <xdr:to>
      <xdr:col>8</xdr:col>
      <xdr:colOff>167551</xdr:colOff>
      <xdr:row>79</xdr:row>
      <xdr:rowOff>165100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1876425" y="13601700"/>
              <a:ext cx="4206151" cy="1641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𝑑</m:t>
                            </m:r>
                          </m:sub>
                        </m:s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𝐴</m:t>
                        </m:r>
                      </m:num>
                      <m:den>
                        <m:sSub>
                          <m:sSubPr>
                            <m:ctrlPr>
                              <a:rPr lang="en-US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𝐴</m:t>
                            </m:r>
                          </m:e>
                          <m:sub>
                            <m:r>
                              <a:rPr lang="en-US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sSup>
                      <m:sSup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−1</m:t>
                                </m:r>
                              </m:num>
                              <m:den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−</m:t>
                        </m:r>
                        <m:f>
                          <m:fPr>
                            <m:type m:val="lin"/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𝑀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sub>
                    </m:sSub>
                    <m:sSup>
                      <m:sSup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−1</m:t>
                                </m:r>
                              </m:num>
                              <m:den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p>
                              <m:sSup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2000" b="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2000" b="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e>
                        </m:d>
                      </m:e>
                      <m:sup>
                        <m: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−</m:t>
                        </m:r>
                        <m:f>
                          <m:fPr>
                            <m:type m:val="lin"/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Choice>
      <mc:Fallback xmlns="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ACBDA987-672B-44D6-97AC-21A609FB17AF}"/>
                </a:ext>
              </a:extLst>
            </xdr:cNvPr>
            <xdr:cNvSpPr txBox="1"/>
          </xdr:nvSpPr>
          <xdr:spPr>
            <a:xfrm>
              <a:off x="1876425" y="13601700"/>
              <a:ext cx="4206151" cy="1641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𝐶_𝑑 𝐴</a:t>
              </a:r>
              <a:r>
                <a:rPr lang="en-US" sz="20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</a:t>
              </a:r>
              <a:r>
                <a:rPr lang="en-US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𝐴_2 </a:t>
              </a:r>
              <a:r>
                <a:rPr lang="en-US" sz="20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(1+(𝛾−1)/2)^(−(𝛾+1)∕[2(𝛾−1)] )</a:t>
              </a:r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</a:t>
              </a:r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2</xdr:col>
      <xdr:colOff>209550</xdr:colOff>
      <xdr:row>85</xdr:row>
      <xdr:rowOff>104775</xdr:rowOff>
    </xdr:from>
    <xdr:to>
      <xdr:col>4</xdr:col>
      <xdr:colOff>475999</xdr:colOff>
      <xdr:row>92</xdr:row>
      <xdr:rowOff>161751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43100" y="16344900"/>
          <a:ext cx="2009524" cy="1390476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102</xdr:row>
      <xdr:rowOff>133350</xdr:rowOff>
    </xdr:from>
    <xdr:to>
      <xdr:col>4</xdr:col>
      <xdr:colOff>342649</xdr:colOff>
      <xdr:row>109</xdr:row>
      <xdr:rowOff>190326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0" y="19611975"/>
          <a:ext cx="2009524" cy="13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3</xdr:row>
      <xdr:rowOff>0</xdr:rowOff>
    </xdr:from>
    <xdr:to>
      <xdr:col>39</xdr:col>
      <xdr:colOff>171450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9C89C2-E5B7-4791-A7FD-16023C99EA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0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oleObject" Target="../embeddings/oleObject1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2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9.emf"/><Relationship Id="rId28" Type="http://schemas.openxmlformats.org/officeDocument/2006/relationships/oleObject" Target="../embeddings/oleObject1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1.bin"/><Relationship Id="rId27" Type="http://schemas.openxmlformats.org/officeDocument/2006/relationships/oleObject" Target="../embeddings/oleObject14.bin"/><Relationship Id="rId30" Type="http://schemas.openxmlformats.org/officeDocument/2006/relationships/oleObject" Target="../embeddings/oleObject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9"/>
  <sheetViews>
    <sheetView tabSelected="1" workbookViewId="0">
      <selection activeCell="I3" sqref="I3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84</v>
      </c>
      <c r="C2" s="23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4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63</v>
      </c>
      <c r="G6" s="4"/>
    </row>
    <row r="7" spans="2:7" x14ac:dyDescent="0.25">
      <c r="B7" s="24" t="s">
        <v>59</v>
      </c>
      <c r="C7">
        <v>1</v>
      </c>
      <c r="D7" t="s">
        <v>81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4" t="s">
        <v>30</v>
      </c>
      <c r="C9">
        <v>273.14999999999998</v>
      </c>
      <c r="D9" t="s">
        <v>82</v>
      </c>
      <c r="E9" t="s">
        <v>60</v>
      </c>
      <c r="G9" s="4"/>
    </row>
    <row r="10" spans="2:7" x14ac:dyDescent="0.25">
      <c r="B10" s="3" t="s">
        <v>61</v>
      </c>
      <c r="C10">
        <v>778.17</v>
      </c>
      <c r="D10" t="s">
        <v>31</v>
      </c>
      <c r="E10" t="s">
        <v>62</v>
      </c>
      <c r="G10" s="4"/>
    </row>
    <row r="11" spans="2:7" x14ac:dyDescent="0.25">
      <c r="B11" s="3" t="s">
        <v>72</v>
      </c>
      <c r="C11">
        <v>0.245</v>
      </c>
      <c r="D11" t="s">
        <v>73</v>
      </c>
      <c r="E11" t="s">
        <v>74</v>
      </c>
      <c r="G11" s="4"/>
    </row>
    <row r="12" spans="2:7" x14ac:dyDescent="0.25">
      <c r="B12" s="24" t="s">
        <v>72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2" t="s">
        <v>83</v>
      </c>
      <c r="C14" s="20"/>
      <c r="G14" s="4"/>
    </row>
    <row r="15" spans="2:7" x14ac:dyDescent="0.25">
      <c r="B15" s="3" t="s">
        <v>33</v>
      </c>
      <c r="C15">
        <v>100</v>
      </c>
      <c r="D15" t="s">
        <v>15</v>
      </c>
      <c r="E15" t="s">
        <v>34</v>
      </c>
      <c r="G15" s="4"/>
    </row>
    <row r="16" spans="2:7" x14ac:dyDescent="0.25">
      <c r="B16" s="24" t="s">
        <v>33</v>
      </c>
      <c r="C16" s="11">
        <f>L/3.28084</f>
        <v>30.47999902464003</v>
      </c>
      <c r="D16" t="s">
        <v>58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4" t="s">
        <v>12</v>
      </c>
      <c r="C18">
        <f>C17*2.54</f>
        <v>7.62</v>
      </c>
      <c r="D18" t="s">
        <v>64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4" t="s">
        <v>12</v>
      </c>
      <c r="C20" s="9">
        <f>D/3.28</f>
        <v>7.621951219512195E-2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4" t="s">
        <v>16</v>
      </c>
      <c r="C22" s="10">
        <f>PI()/4*C18^2</f>
        <v>45.603673118774793</v>
      </c>
      <c r="D22" t="s">
        <v>65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4" t="s">
        <v>16</v>
      </c>
      <c r="C24" s="5">
        <f>PI()/4*C20^2</f>
        <v>4.5627031168519964E-3</v>
      </c>
      <c r="D24" t="s">
        <v>66</v>
      </c>
      <c r="G24" s="4"/>
    </row>
    <row r="25" spans="2:7" ht="15.75" thickBot="1" x14ac:dyDescent="0.3">
      <c r="B25" s="6" t="s">
        <v>35</v>
      </c>
      <c r="C25" s="7">
        <v>1.7000000000000001E-2</v>
      </c>
      <c r="D25" s="16" t="s">
        <v>6</v>
      </c>
      <c r="E25" s="7" t="s">
        <v>90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" t="s">
        <v>38</v>
      </c>
      <c r="C37" s="15">
        <v>400</v>
      </c>
      <c r="D37" t="s">
        <v>1</v>
      </c>
      <c r="P37" s="4"/>
    </row>
    <row r="38" spans="2:16" x14ac:dyDescent="0.25">
      <c r="B38" s="24" t="s">
        <v>38</v>
      </c>
      <c r="C38" s="21">
        <f>Po_1*6.89476</f>
        <v>2757.904</v>
      </c>
      <c r="D38" t="s">
        <v>69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4" t="s">
        <v>39</v>
      </c>
      <c r="C40" s="21">
        <f>(C39+459.67)/1.8-273.15</f>
        <v>93.333333333333371</v>
      </c>
      <c r="D40" t="s">
        <v>85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79</v>
      </c>
      <c r="P42" s="4"/>
    </row>
    <row r="43" spans="2:16" x14ac:dyDescent="0.25">
      <c r="B43" s="3"/>
      <c r="P43" s="4"/>
    </row>
    <row r="44" spans="2:16" x14ac:dyDescent="0.25">
      <c r="B44" s="22" t="s">
        <v>91</v>
      </c>
      <c r="P44" s="4"/>
    </row>
    <row r="45" spans="2:16" x14ac:dyDescent="0.25">
      <c r="B45" s="3" t="s">
        <v>96</v>
      </c>
      <c r="C45" s="29">
        <v>2</v>
      </c>
      <c r="D45" t="s">
        <v>18</v>
      </c>
      <c r="E45" t="s">
        <v>99</v>
      </c>
      <c r="P45" s="4"/>
    </row>
    <row r="46" spans="2:16" x14ac:dyDescent="0.25">
      <c r="B46" s="24" t="s">
        <v>96</v>
      </c>
      <c r="C46" s="21">
        <f>C45*2.54^2</f>
        <v>12.9032</v>
      </c>
      <c r="D46" t="s">
        <v>65</v>
      </c>
      <c r="P46" s="4"/>
    </row>
    <row r="47" spans="2:16" x14ac:dyDescent="0.25">
      <c r="B47" s="3" t="s">
        <v>96</v>
      </c>
      <c r="C47" s="9">
        <f>C45/144</f>
        <v>1.3888888888888888E-2</v>
      </c>
      <c r="D47" t="s">
        <v>19</v>
      </c>
      <c r="E47" t="s">
        <v>99</v>
      </c>
      <c r="P47" s="4"/>
    </row>
    <row r="48" spans="2:16" x14ac:dyDescent="0.25">
      <c r="B48" s="24" t="s">
        <v>96</v>
      </c>
      <c r="C48" s="28">
        <f>C46/10^4</f>
        <v>1.29032E-3</v>
      </c>
      <c r="D48" t="s">
        <v>66</v>
      </c>
      <c r="P48" s="4"/>
    </row>
    <row r="49" spans="2:16" x14ac:dyDescent="0.25">
      <c r="B49" s="27"/>
      <c r="C49" s="28"/>
      <c r="P49" s="4"/>
    </row>
    <row r="50" spans="2:16" x14ac:dyDescent="0.25">
      <c r="B50" s="27"/>
      <c r="C50" s="28"/>
      <c r="P50" s="4"/>
    </row>
    <row r="51" spans="2:16" x14ac:dyDescent="0.25">
      <c r="B51" s="27" t="s">
        <v>97</v>
      </c>
      <c r="C51" s="28"/>
      <c r="P51" s="4"/>
    </row>
    <row r="52" spans="2:16" x14ac:dyDescent="0.25">
      <c r="B52" s="27" t="s">
        <v>98</v>
      </c>
      <c r="C52" s="28"/>
      <c r="P52" s="4"/>
    </row>
    <row r="53" spans="2:16" x14ac:dyDescent="0.25">
      <c r="B53" s="27"/>
      <c r="C53" s="28"/>
      <c r="P53" s="4"/>
    </row>
    <row r="54" spans="2:16" x14ac:dyDescent="0.25">
      <c r="B54" s="27"/>
      <c r="C54" s="28"/>
      <c r="P54" s="4"/>
    </row>
    <row r="55" spans="2:16" x14ac:dyDescent="0.25">
      <c r="B55" s="27"/>
      <c r="C55" s="28"/>
      <c r="P55" s="4"/>
    </row>
    <row r="56" spans="2:16" x14ac:dyDescent="0.25">
      <c r="B56" s="27"/>
      <c r="C56" s="28"/>
      <c r="P56" s="4"/>
    </row>
    <row r="57" spans="2:16" x14ac:dyDescent="0.25">
      <c r="B57" s="27"/>
      <c r="C57" s="28"/>
      <c r="P57" s="4"/>
    </row>
    <row r="58" spans="2:16" x14ac:dyDescent="0.25">
      <c r="B58" s="27" t="s">
        <v>100</v>
      </c>
      <c r="C58" s="28"/>
      <c r="P58" s="4"/>
    </row>
    <row r="59" spans="2:16" x14ac:dyDescent="0.25">
      <c r="B59" s="27"/>
      <c r="C59" s="28"/>
      <c r="P59" s="4"/>
    </row>
    <row r="60" spans="2:16" x14ac:dyDescent="0.25">
      <c r="B60" s="27"/>
      <c r="C60" s="28"/>
      <c r="P60" s="4"/>
    </row>
    <row r="61" spans="2:16" x14ac:dyDescent="0.25">
      <c r="B61" s="27"/>
      <c r="C61" s="28"/>
      <c r="P61" s="4"/>
    </row>
    <row r="62" spans="2:16" x14ac:dyDescent="0.25">
      <c r="B62" s="27"/>
      <c r="C62" s="28"/>
      <c r="P62" s="4"/>
    </row>
    <row r="63" spans="2:16" x14ac:dyDescent="0.25">
      <c r="B63" s="27"/>
      <c r="C63" s="28"/>
      <c r="P63" s="4"/>
    </row>
    <row r="64" spans="2:16" x14ac:dyDescent="0.25">
      <c r="B64" s="27"/>
      <c r="C64" s="28"/>
      <c r="P64" s="4"/>
    </row>
    <row r="65" spans="2:16" x14ac:dyDescent="0.25">
      <c r="B65" s="27"/>
      <c r="C65" s="28"/>
      <c r="P65" s="4"/>
    </row>
    <row r="66" spans="2:16" x14ac:dyDescent="0.25">
      <c r="B66" s="27"/>
      <c r="P66" s="4"/>
    </row>
    <row r="67" spans="2:16" x14ac:dyDescent="0.25">
      <c r="B67" s="27"/>
      <c r="P67" s="4"/>
    </row>
    <row r="68" spans="2:16" x14ac:dyDescent="0.25">
      <c r="B68" s="27"/>
      <c r="P68" s="4"/>
    </row>
    <row r="69" spans="2:16" x14ac:dyDescent="0.25">
      <c r="B69" s="27" t="s">
        <v>101</v>
      </c>
      <c r="P69" s="4"/>
    </row>
    <row r="70" spans="2:16" ht="15.75" thickBot="1" x14ac:dyDescent="0.3">
      <c r="B70" s="27"/>
      <c r="P70" s="4"/>
    </row>
    <row r="71" spans="2:16" ht="15.75" thickBot="1" x14ac:dyDescent="0.3">
      <c r="B71" s="27"/>
      <c r="C71" s="30" t="s">
        <v>102</v>
      </c>
      <c r="D71" s="31"/>
      <c r="P71" s="4"/>
    </row>
    <row r="72" spans="2:16" x14ac:dyDescent="0.25">
      <c r="B72" s="27"/>
      <c r="P72" s="4"/>
    </row>
    <row r="73" spans="2:16" x14ac:dyDescent="0.25">
      <c r="B73" s="27"/>
      <c r="P73" s="4"/>
    </row>
    <row r="74" spans="2:16" x14ac:dyDescent="0.25">
      <c r="B74" s="27"/>
      <c r="P74" s="4"/>
    </row>
    <row r="75" spans="2:16" x14ac:dyDescent="0.25">
      <c r="B75" s="27"/>
      <c r="P75" s="4"/>
    </row>
    <row r="76" spans="2:16" x14ac:dyDescent="0.25">
      <c r="B76" s="27"/>
      <c r="P76" s="4"/>
    </row>
    <row r="77" spans="2:16" x14ac:dyDescent="0.25">
      <c r="B77" s="27"/>
      <c r="P77" s="4"/>
    </row>
    <row r="78" spans="2:16" x14ac:dyDescent="0.25">
      <c r="B78" s="27"/>
      <c r="P78" s="4"/>
    </row>
    <row r="79" spans="2:16" x14ac:dyDescent="0.25">
      <c r="B79" s="27"/>
      <c r="P79" s="4"/>
    </row>
    <row r="80" spans="2:16" x14ac:dyDescent="0.25">
      <c r="B80" s="27"/>
      <c r="P80" s="4"/>
    </row>
    <row r="81" spans="2:16" x14ac:dyDescent="0.25">
      <c r="B81" s="27"/>
      <c r="P81" s="4"/>
    </row>
    <row r="82" spans="2:16" x14ac:dyDescent="0.25">
      <c r="B82" s="27" t="s">
        <v>103</v>
      </c>
      <c r="C82">
        <f>CdA/A*(1+(Gam-1)/2)^(-(Gam+1)/2/(Gam-1))</f>
        <v>0.16373965338672358</v>
      </c>
      <c r="P82" s="4"/>
    </row>
    <row r="83" spans="2:16" x14ac:dyDescent="0.25">
      <c r="B83" s="3" t="s">
        <v>37</v>
      </c>
      <c r="C83" s="32">
        <v>0.16648136922389201</v>
      </c>
      <c r="D83" s="15" t="s">
        <v>75</v>
      </c>
      <c r="E83" s="15"/>
      <c r="P83" s="4"/>
    </row>
    <row r="84" spans="2:16" x14ac:dyDescent="0.25">
      <c r="B84" s="27" t="s">
        <v>104</v>
      </c>
      <c r="C84">
        <f>M_2*(1+M_2^2*(Gam-1)/2)^(-(Gam+1)/2/(Gam-1))</f>
        <v>0.16374325780510626</v>
      </c>
      <c r="P84" s="4"/>
    </row>
    <row r="85" spans="2:16" x14ac:dyDescent="0.25">
      <c r="B85" s="26" t="s">
        <v>80</v>
      </c>
      <c r="C85" s="10">
        <f>C82-C84</f>
        <v>-3.6044183826799969E-6</v>
      </c>
      <c r="D85" s="25" t="s">
        <v>76</v>
      </c>
      <c r="P85" s="4"/>
    </row>
    <row r="86" spans="2:16" x14ac:dyDescent="0.25">
      <c r="B86" s="27"/>
      <c r="P86" s="4"/>
    </row>
    <row r="87" spans="2:16" x14ac:dyDescent="0.25">
      <c r="B87" s="27"/>
      <c r="P87" s="4"/>
    </row>
    <row r="88" spans="2:16" x14ac:dyDescent="0.25">
      <c r="B88" s="27"/>
      <c r="P88" s="4"/>
    </row>
    <row r="89" spans="2:16" x14ac:dyDescent="0.25">
      <c r="B89" s="27"/>
      <c r="P89" s="4"/>
    </row>
    <row r="90" spans="2:16" x14ac:dyDescent="0.25">
      <c r="B90" s="27"/>
      <c r="P90" s="4"/>
    </row>
    <row r="91" spans="2:16" x14ac:dyDescent="0.25">
      <c r="B91" s="27"/>
      <c r="P91" s="4"/>
    </row>
    <row r="92" spans="2:16" x14ac:dyDescent="0.25">
      <c r="B92" s="27"/>
      <c r="P92" s="4"/>
    </row>
    <row r="93" spans="2:16" x14ac:dyDescent="0.25">
      <c r="B93" s="27"/>
      <c r="P93" s="4"/>
    </row>
    <row r="94" spans="2:16" x14ac:dyDescent="0.25">
      <c r="B94" s="27"/>
      <c r="P94" s="4"/>
    </row>
    <row r="95" spans="2:16" x14ac:dyDescent="0.25">
      <c r="B95" s="27"/>
      <c r="P95" s="4"/>
    </row>
    <row r="96" spans="2:16" x14ac:dyDescent="0.25">
      <c r="B96" s="27" t="s">
        <v>105</v>
      </c>
      <c r="P96" s="4"/>
    </row>
    <row r="97" spans="2:16" x14ac:dyDescent="0.25">
      <c r="B97" s="27"/>
      <c r="P97" s="4"/>
    </row>
    <row r="98" spans="2:16" x14ac:dyDescent="0.25">
      <c r="B98" s="3" t="s">
        <v>36</v>
      </c>
      <c r="C98" s="18">
        <f>f*L/D</f>
        <v>6.8000000000000007</v>
      </c>
      <c r="D98" t="s">
        <v>92</v>
      </c>
      <c r="P98" s="4"/>
    </row>
    <row r="99" spans="2:16" x14ac:dyDescent="0.25">
      <c r="B99" s="3" t="s">
        <v>40</v>
      </c>
      <c r="C99" s="14">
        <v>0.14762323347790815</v>
      </c>
      <c r="D99" s="15" t="s">
        <v>75</v>
      </c>
      <c r="E99" s="15"/>
      <c r="P99" s="4"/>
    </row>
    <row r="100" spans="2:16" x14ac:dyDescent="0.25">
      <c r="B100" s="3"/>
      <c r="P100" s="4"/>
    </row>
    <row r="101" spans="2:16" x14ac:dyDescent="0.25">
      <c r="B101" s="3" t="s">
        <v>36</v>
      </c>
      <c r="C101" s="18">
        <f>1/Gam*(1/M_1^2-1/M_2^2)+(Gam+1)/2/Gam*LN((M_1^2/M_2^2)*(1+M_2^2*(Gam-1)/2)/(1+M_1^2*(Gam-1)/2))</f>
        <v>6.7998571830029491</v>
      </c>
      <c r="P101" s="4"/>
    </row>
    <row r="102" spans="2:16" x14ac:dyDescent="0.25">
      <c r="B102" s="26" t="s">
        <v>80</v>
      </c>
      <c r="C102" s="10">
        <f>C98-C101</f>
        <v>1.4281699705165352E-4</v>
      </c>
      <c r="D102" s="25" t="s">
        <v>76</v>
      </c>
      <c r="P102" s="4"/>
    </row>
    <row r="103" spans="2:16" x14ac:dyDescent="0.25">
      <c r="B103" s="3"/>
      <c r="C103" s="10"/>
      <c r="P103" s="4"/>
    </row>
    <row r="104" spans="2:16" x14ac:dyDescent="0.25">
      <c r="B104" s="3"/>
      <c r="P104" s="4"/>
    </row>
    <row r="105" spans="2:16" x14ac:dyDescent="0.25">
      <c r="B105" s="3"/>
      <c r="P105" s="4"/>
    </row>
    <row r="106" spans="2:16" x14ac:dyDescent="0.25">
      <c r="B106" s="3"/>
      <c r="P106" s="4"/>
    </row>
    <row r="107" spans="2:16" x14ac:dyDescent="0.25">
      <c r="B107" s="3"/>
      <c r="P107" s="4"/>
    </row>
    <row r="108" spans="2:16" x14ac:dyDescent="0.25">
      <c r="B108" s="3"/>
      <c r="P108" s="4"/>
    </row>
    <row r="109" spans="2:16" x14ac:dyDescent="0.25">
      <c r="B109" s="3"/>
      <c r="P109" s="4"/>
    </row>
    <row r="110" spans="2:16" x14ac:dyDescent="0.25">
      <c r="B110" s="3"/>
      <c r="P110" s="4"/>
    </row>
    <row r="111" spans="2:16" x14ac:dyDescent="0.25">
      <c r="B111" s="3"/>
      <c r="P111" s="4"/>
    </row>
    <row r="112" spans="2:16" x14ac:dyDescent="0.25">
      <c r="B112" s="3"/>
      <c r="P112" s="4"/>
    </row>
    <row r="113" spans="2:16" x14ac:dyDescent="0.25">
      <c r="B113" s="3"/>
      <c r="P113" s="4"/>
    </row>
    <row r="114" spans="2:16" x14ac:dyDescent="0.25">
      <c r="B114" s="3"/>
      <c r="P114" s="4"/>
    </row>
    <row r="115" spans="2:16" x14ac:dyDescent="0.25">
      <c r="B115" s="3" t="s">
        <v>20</v>
      </c>
      <c r="C115" s="5">
        <f>(Gam/Z/Rg)^0.5*M_1*(1+M_1^2*(Gam-1)/2)^(-(Gam+1)/2/(Gam-1))</f>
        <v>2.3603314882924411E-2</v>
      </c>
      <c r="D115" s="25" t="s">
        <v>95</v>
      </c>
      <c r="P115" s="4"/>
    </row>
    <row r="116" spans="2:16" x14ac:dyDescent="0.25">
      <c r="B116" s="3"/>
      <c r="P116" s="4"/>
    </row>
    <row r="117" spans="2:16" x14ac:dyDescent="0.25">
      <c r="B117" s="27" t="s">
        <v>9</v>
      </c>
      <c r="C117" s="11">
        <f>(Po_1/To_1^0.5)*gc^0.5*144*A*C115</f>
        <v>14.738542702209223</v>
      </c>
      <c r="D117" t="s">
        <v>11</v>
      </c>
      <c r="E117" t="s">
        <v>10</v>
      </c>
      <c r="I117" s="11"/>
      <c r="P117" s="4"/>
    </row>
    <row r="118" spans="2:16" x14ac:dyDescent="0.25">
      <c r="B118" s="24" t="s">
        <v>9</v>
      </c>
      <c r="C118" s="11">
        <f>mdot*0.45359</f>
        <v>6.6852555842950814</v>
      </c>
      <c r="D118" t="s">
        <v>71</v>
      </c>
      <c r="I118" s="11"/>
      <c r="P118" s="4"/>
    </row>
    <row r="119" spans="2:16" x14ac:dyDescent="0.25">
      <c r="B119" s="26"/>
      <c r="C119" s="5"/>
      <c r="D119" s="25"/>
      <c r="P119" s="4"/>
    </row>
    <row r="120" spans="2:16" x14ac:dyDescent="0.25">
      <c r="B120" s="26"/>
      <c r="C120" s="5"/>
      <c r="D120" s="25"/>
      <c r="P120" s="4"/>
    </row>
    <row r="121" spans="2:16" x14ac:dyDescent="0.25">
      <c r="B121" s="3"/>
      <c r="P121" s="4"/>
    </row>
    <row r="122" spans="2:16" x14ac:dyDescent="0.25">
      <c r="B122" s="3" t="s">
        <v>41</v>
      </c>
      <c r="C122" s="10">
        <f>Po_1/(1+M_1^2*(Gam-1)/2)^(Gam/(Gam-1))</f>
        <v>393.95743156932838</v>
      </c>
      <c r="D122" t="s">
        <v>1</v>
      </c>
      <c r="P122" s="4"/>
    </row>
    <row r="123" spans="2:16" x14ac:dyDescent="0.25">
      <c r="B123" s="24" t="str">
        <f>B122</f>
        <v>P1</v>
      </c>
      <c r="C123" s="21">
        <f>P_1*6.89476</f>
        <v>2716.2419408869423</v>
      </c>
      <c r="D123" t="s">
        <v>69</v>
      </c>
      <c r="P123" s="4"/>
    </row>
    <row r="124" spans="2:16" x14ac:dyDescent="0.25">
      <c r="B124" s="3" t="s">
        <v>42</v>
      </c>
      <c r="C124" s="10">
        <f>To_1/(1+M_1^2*(Gam-1)/2)</f>
        <v>656.80728978724233</v>
      </c>
      <c r="D124" t="s">
        <v>21</v>
      </c>
      <c r="P124" s="4"/>
    </row>
    <row r="125" spans="2:16" x14ac:dyDescent="0.25">
      <c r="B125" s="3" t="s">
        <v>42</v>
      </c>
      <c r="C125" s="10">
        <f>C124-C8</f>
        <v>197.13728978724231</v>
      </c>
      <c r="D125" t="s">
        <v>2</v>
      </c>
      <c r="P125" s="4"/>
    </row>
    <row r="126" spans="2:16" x14ac:dyDescent="0.25">
      <c r="B126" s="24" t="str">
        <f>B125</f>
        <v>T1</v>
      </c>
      <c r="C126" s="21">
        <f>(C125+459.67)/1.8-273.15</f>
        <v>91.742938770690216</v>
      </c>
      <c r="D126" t="s">
        <v>85</v>
      </c>
      <c r="P126" s="4"/>
    </row>
    <row r="127" spans="2:16" x14ac:dyDescent="0.25">
      <c r="B127" s="3" t="s">
        <v>43</v>
      </c>
      <c r="C127" s="10">
        <f>P_1*144/Z/Rg/T_1</f>
        <v>1.6188812037953075</v>
      </c>
      <c r="D127" t="s">
        <v>26</v>
      </c>
      <c r="P127" s="4"/>
    </row>
    <row r="128" spans="2:16" x14ac:dyDescent="0.25">
      <c r="B128" s="24" t="str">
        <f>B127</f>
        <v>rho1</v>
      </c>
      <c r="C128" s="21">
        <f>rho_1*16.01846</f>
        <v>25.931983807746985</v>
      </c>
      <c r="D128" t="s">
        <v>86</v>
      </c>
      <c r="P128" s="4"/>
    </row>
    <row r="129" spans="2:16" x14ac:dyDescent="0.25">
      <c r="B129" s="3" t="s">
        <v>44</v>
      </c>
      <c r="C129" s="11">
        <f>mdot/rho_1/A</f>
        <v>185.46828865491847</v>
      </c>
      <c r="D129" t="s">
        <v>25</v>
      </c>
      <c r="P129" s="4"/>
    </row>
    <row r="130" spans="2:16" x14ac:dyDescent="0.25">
      <c r="B130" s="24" t="str">
        <f>B129</f>
        <v>V1</v>
      </c>
      <c r="C130" s="21">
        <f>V_1/3.28</f>
        <v>56.545209955767831</v>
      </c>
      <c r="D130" t="s">
        <v>87</v>
      </c>
      <c r="P130" s="4"/>
    </row>
    <row r="131" spans="2:16" x14ac:dyDescent="0.25">
      <c r="B131" s="3" t="s">
        <v>77</v>
      </c>
      <c r="C131" s="11">
        <f>V_1/M_1</f>
        <v>1256.3624592511981</v>
      </c>
      <c r="D131" t="s">
        <v>32</v>
      </c>
      <c r="P131" s="4"/>
    </row>
    <row r="132" spans="2:16" x14ac:dyDescent="0.25">
      <c r="B132" s="24" t="str">
        <f>B131</f>
        <v>c1</v>
      </c>
      <c r="C132" s="21">
        <f>c_1/3.28</f>
        <v>383.03733513756043</v>
      </c>
      <c r="D132" t="s">
        <v>88</v>
      </c>
      <c r="P132" s="4"/>
    </row>
    <row r="133" spans="2:16" x14ac:dyDescent="0.25">
      <c r="B133" s="3"/>
      <c r="P133" s="4"/>
    </row>
    <row r="134" spans="2:16" x14ac:dyDescent="0.25">
      <c r="B134" s="3"/>
      <c r="P134" s="4"/>
    </row>
    <row r="135" spans="2:16" x14ac:dyDescent="0.25">
      <c r="B135" s="3"/>
      <c r="P135" s="4"/>
    </row>
    <row r="136" spans="2:16" x14ac:dyDescent="0.25">
      <c r="B136" s="3"/>
      <c r="P136" s="4"/>
    </row>
    <row r="137" spans="2:16" x14ac:dyDescent="0.25">
      <c r="B137" s="3"/>
      <c r="P137" s="4"/>
    </row>
    <row r="138" spans="2:16" x14ac:dyDescent="0.25">
      <c r="B138" s="3"/>
      <c r="P138" s="4"/>
    </row>
    <row r="139" spans="2:16" x14ac:dyDescent="0.25">
      <c r="B139" s="3" t="s">
        <v>45</v>
      </c>
      <c r="C139" s="10">
        <f>cp*(T_1)</f>
        <v>160.91778599787438</v>
      </c>
      <c r="D139" t="s">
        <v>29</v>
      </c>
      <c r="E139" s="12" t="s">
        <v>89</v>
      </c>
      <c r="P139" s="4"/>
    </row>
    <row r="140" spans="2:16" x14ac:dyDescent="0.25">
      <c r="B140" s="24" t="str">
        <f>B139</f>
        <v>h1</v>
      </c>
      <c r="C140" s="21">
        <f>h_1*2.32442</f>
        <v>374.04052012917913</v>
      </c>
      <c r="D140" t="s">
        <v>70</v>
      </c>
      <c r="E140" s="12"/>
      <c r="P140" s="4"/>
    </row>
    <row r="141" spans="2:16" x14ac:dyDescent="0.25">
      <c r="B141" s="3" t="s">
        <v>46</v>
      </c>
      <c r="C141" s="10">
        <f>h_1+0.5*V_1^2/C10/gc</f>
        <v>161.60474337599794</v>
      </c>
      <c r="D141" t="s">
        <v>29</v>
      </c>
      <c r="P141" s="4"/>
    </row>
    <row r="142" spans="2:16" x14ac:dyDescent="0.25">
      <c r="B142" s="24" t="str">
        <f>B141</f>
        <v>ho1</v>
      </c>
      <c r="C142" s="21">
        <f>ho_1*2.32442</f>
        <v>375.63729759803715</v>
      </c>
      <c r="D142" t="s">
        <v>70</v>
      </c>
      <c r="P142" s="4"/>
    </row>
    <row r="143" spans="2:16" x14ac:dyDescent="0.25">
      <c r="B143" s="3"/>
      <c r="P143" s="4"/>
    </row>
    <row r="144" spans="2:16" ht="15.75" thickBot="1" x14ac:dyDescent="0.3">
      <c r="B144" s="6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8"/>
    </row>
    <row r="146" spans="2:16" ht="15.75" thickBot="1" x14ac:dyDescent="0.3"/>
    <row r="147" spans="2:16" x14ac:dyDescent="0.25">
      <c r="B147" s="13" t="s">
        <v>24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2"/>
    </row>
    <row r="148" spans="2:16" x14ac:dyDescent="0.25">
      <c r="B148" s="3"/>
      <c r="P148" s="4"/>
    </row>
    <row r="149" spans="2:16" x14ac:dyDescent="0.25">
      <c r="B149" s="3"/>
      <c r="P149" s="4"/>
    </row>
    <row r="150" spans="2:16" x14ac:dyDescent="0.25">
      <c r="B150" s="3"/>
      <c r="P150" s="4"/>
    </row>
    <row r="151" spans="2:16" x14ac:dyDescent="0.25">
      <c r="B151" s="3" t="s">
        <v>93</v>
      </c>
      <c r="P151" s="4"/>
    </row>
    <row r="152" spans="2:16" x14ac:dyDescent="0.25">
      <c r="B152" s="3" t="s">
        <v>47</v>
      </c>
      <c r="C152" s="10">
        <f>ho_1</f>
        <v>161.60474337599794</v>
      </c>
      <c r="D152" t="s">
        <v>29</v>
      </c>
      <c r="P152" s="4"/>
    </row>
    <row r="153" spans="2:16" x14ac:dyDescent="0.25">
      <c r="B153" s="24" t="str">
        <f>B152</f>
        <v>ho2</v>
      </c>
      <c r="C153" s="21">
        <f>ho_2*2.32442</f>
        <v>375.63729759803715</v>
      </c>
      <c r="D153" t="s">
        <v>70</v>
      </c>
      <c r="P153" s="4"/>
    </row>
    <row r="154" spans="2:16" x14ac:dyDescent="0.25">
      <c r="B154" s="3"/>
      <c r="P154" s="4"/>
    </row>
    <row r="155" spans="2:16" x14ac:dyDescent="0.25">
      <c r="B155" s="3"/>
      <c r="P155" s="4"/>
    </row>
    <row r="156" spans="2:16" x14ac:dyDescent="0.25">
      <c r="B156" s="3" t="s">
        <v>94</v>
      </c>
      <c r="P156" s="4"/>
    </row>
    <row r="157" spans="2:16" x14ac:dyDescent="0.25">
      <c r="B157" s="3" t="s">
        <v>48</v>
      </c>
      <c r="P157" s="4"/>
    </row>
    <row r="158" spans="2:16" x14ac:dyDescent="0.25">
      <c r="B158" s="3"/>
      <c r="P158" s="4"/>
    </row>
    <row r="159" spans="2:16" x14ac:dyDescent="0.25">
      <c r="B159" s="3" t="s">
        <v>49</v>
      </c>
      <c r="C159" s="11">
        <f>P_1*M_1/M_2*((2+M_1^2*(Gam-1))/(2+M_2^2*(Gam-1)))^0.5</f>
        <v>349.12615714998213</v>
      </c>
      <c r="D159" t="s">
        <v>1</v>
      </c>
      <c r="P159" s="4"/>
    </row>
    <row r="160" spans="2:16" x14ac:dyDescent="0.25">
      <c r="B160" s="24" t="str">
        <f>B159</f>
        <v>P2</v>
      </c>
      <c r="C160" s="21">
        <f>P_2*6.89476</f>
        <v>2407.1410632714105</v>
      </c>
      <c r="D160" t="s">
        <v>69</v>
      </c>
      <c r="P160" s="4"/>
    </row>
    <row r="161" spans="2:16" x14ac:dyDescent="0.25">
      <c r="B161" s="3" t="s">
        <v>50</v>
      </c>
      <c r="C161" s="11">
        <f>T_1*((2+M_1^2*(Gam-1))/(2+M_2^2*(Gam-1)))</f>
        <v>656.03346919884268</v>
      </c>
      <c r="D161" t="s">
        <v>21</v>
      </c>
      <c r="P161" s="4"/>
    </row>
    <row r="162" spans="2:16" x14ac:dyDescent="0.25">
      <c r="B162" s="3" t="s">
        <v>50</v>
      </c>
      <c r="C162" s="11">
        <f>C161-C8</f>
        <v>196.36346919884267</v>
      </c>
      <c r="D162" t="s">
        <v>2</v>
      </c>
      <c r="P162" s="4"/>
    </row>
    <row r="163" spans="2:16" x14ac:dyDescent="0.25">
      <c r="B163" s="24" t="str">
        <f>B162</f>
        <v>T2</v>
      </c>
      <c r="C163" s="21">
        <f>(C162+459.67)/1.8-273.15</f>
        <v>91.313038443801531</v>
      </c>
      <c r="D163" t="s">
        <v>85</v>
      </c>
      <c r="P163" s="4"/>
    </row>
    <row r="164" spans="2:16" x14ac:dyDescent="0.25">
      <c r="B164" s="3" t="s">
        <v>51</v>
      </c>
      <c r="C164" s="11">
        <f>P_2*((1+M_2^2*(Gam-1)/2))^(Gam/(Gam-1))</f>
        <v>355.94669854162419</v>
      </c>
      <c r="D164" t="s">
        <v>1</v>
      </c>
      <c r="L164" t="s">
        <v>106</v>
      </c>
      <c r="M164" s="11">
        <f>Po_2/((1+1^2*(Gam-1)/2))^(Gam/(Gam-1))</f>
        <v>188.04015823759528</v>
      </c>
      <c r="N164" t="str">
        <f>D164</f>
        <v>psia</v>
      </c>
      <c r="P164" s="4"/>
    </row>
    <row r="165" spans="2:16" x14ac:dyDescent="0.25">
      <c r="B165" s="24" t="str">
        <f>B164</f>
        <v>Po2</v>
      </c>
      <c r="C165" s="21">
        <f>Po_2*6.89476</f>
        <v>2454.1670592368487</v>
      </c>
      <c r="D165" t="s">
        <v>69</v>
      </c>
      <c r="M165" s="21">
        <f>M164*6.89476</f>
        <v>1296.4917614102424</v>
      </c>
      <c r="N165" t="str">
        <f t="shared" ref="N165:N173" si="0">D165</f>
        <v>kPa</v>
      </c>
      <c r="P165" s="4"/>
    </row>
    <row r="166" spans="2:16" x14ac:dyDescent="0.25">
      <c r="B166" s="3" t="s">
        <v>52</v>
      </c>
      <c r="C166" s="11">
        <f>T_2*((1+M_2^2*(Gam-1)/2))</f>
        <v>659.67</v>
      </c>
      <c r="D166" t="s">
        <v>21</v>
      </c>
      <c r="L166" t="s">
        <v>107</v>
      </c>
      <c r="M166">
        <f>To_2/((1+1^2*(Gam-1)/2))</f>
        <v>549.72500000000002</v>
      </c>
      <c r="N166" t="str">
        <f t="shared" si="0"/>
        <v>R</v>
      </c>
      <c r="P166" s="4"/>
    </row>
    <row r="167" spans="2:16" x14ac:dyDescent="0.25">
      <c r="B167" s="3" t="s">
        <v>52</v>
      </c>
      <c r="C167" s="11">
        <f>C166-C8</f>
        <v>199.99999999999994</v>
      </c>
      <c r="D167" t="s">
        <v>2</v>
      </c>
      <c r="L167" s="19"/>
      <c r="M167" s="11">
        <f>M166-C8</f>
        <v>90.055000000000007</v>
      </c>
      <c r="N167" t="str">
        <f t="shared" si="0"/>
        <v>F</v>
      </c>
      <c r="P167" s="4"/>
    </row>
    <row r="168" spans="2:16" x14ac:dyDescent="0.25">
      <c r="B168" s="24" t="str">
        <f>B167</f>
        <v>To2</v>
      </c>
      <c r="C168" s="21">
        <f>(C167+459.67)/1.8-273.15</f>
        <v>93.333333333333314</v>
      </c>
      <c r="D168" t="s">
        <v>85</v>
      </c>
      <c r="M168" s="21">
        <f>(M167+459.67)/1.8-273.15</f>
        <v>32.252777777777794</v>
      </c>
      <c r="N168" t="str">
        <f t="shared" si="0"/>
        <v>C</v>
      </c>
      <c r="P168" s="4"/>
    </row>
    <row r="169" spans="2:16" x14ac:dyDescent="0.25">
      <c r="B169" s="3"/>
      <c r="P169" s="4"/>
    </row>
    <row r="170" spans="2:16" x14ac:dyDescent="0.25">
      <c r="B170" s="3" t="s">
        <v>53</v>
      </c>
      <c r="C170" s="9">
        <f>P_2*144/Z/Rg/T_2</f>
        <v>1.4363492076940296</v>
      </c>
      <c r="D170" t="s">
        <v>26</v>
      </c>
      <c r="L170" t="s">
        <v>108</v>
      </c>
      <c r="M170" s="9">
        <f>M164*144/Z/Rg/M166</f>
        <v>0.92322757518752252</v>
      </c>
      <c r="N170" t="str">
        <f t="shared" si="0"/>
        <v>lbm/ft3</v>
      </c>
      <c r="P170" s="4"/>
    </row>
    <row r="171" spans="2:16" x14ac:dyDescent="0.25">
      <c r="B171" s="24" t="str">
        <f>B170</f>
        <v>rho2</v>
      </c>
      <c r="C171" s="21">
        <f>rho_2*16.01846</f>
        <v>23.008102329478508</v>
      </c>
      <c r="D171" t="s">
        <v>86</v>
      </c>
      <c r="M171" s="21">
        <f>M170*16.01846</f>
        <v>14.788683984038324</v>
      </c>
      <c r="N171" t="str">
        <f t="shared" si="0"/>
        <v>kg/m3</v>
      </c>
      <c r="P171" s="4"/>
    </row>
    <row r="172" spans="2:16" x14ac:dyDescent="0.25">
      <c r="B172" s="3" t="s">
        <v>54</v>
      </c>
      <c r="C172" s="11">
        <f>mdot/rho_2/A</f>
        <v>209.0376941729684</v>
      </c>
      <c r="D172" t="s">
        <v>25</v>
      </c>
      <c r="L172" t="s">
        <v>109</v>
      </c>
      <c r="M172" s="11">
        <f>mdot/M170/CdA</f>
        <v>1149.4187382168716</v>
      </c>
      <c r="N172" t="str">
        <f t="shared" si="0"/>
        <v>ft/s</v>
      </c>
      <c r="P172" s="4"/>
    </row>
    <row r="173" spans="2:16" x14ac:dyDescent="0.25">
      <c r="B173" s="24" t="str">
        <f>B172</f>
        <v>V2</v>
      </c>
      <c r="C173" s="21">
        <f>V_2/3.28</f>
        <v>63.731004321026958</v>
      </c>
      <c r="D173" t="s">
        <v>87</v>
      </c>
      <c r="M173" s="21">
        <f>M172/3.28</f>
        <v>350.43254213929015</v>
      </c>
      <c r="N173" t="str">
        <f t="shared" si="0"/>
        <v>m/s</v>
      </c>
      <c r="P173" s="4"/>
    </row>
    <row r="174" spans="2:16" x14ac:dyDescent="0.25">
      <c r="B174" s="3"/>
      <c r="P174" s="4"/>
    </row>
    <row r="175" spans="2:16" x14ac:dyDescent="0.25">
      <c r="B175" s="3" t="s">
        <v>55</v>
      </c>
      <c r="C175" s="17">
        <f>ho_2-0.5*V_2^2/C10/gc</f>
        <v>160.73209421524962</v>
      </c>
      <c r="D175" t="s">
        <v>29</v>
      </c>
      <c r="P175" s="4"/>
    </row>
    <row r="176" spans="2:16" x14ac:dyDescent="0.25">
      <c r="B176" s="24" t="str">
        <f>B175</f>
        <v>h2</v>
      </c>
      <c r="C176" s="21">
        <f>h_2*2.32442</f>
        <v>373.6088944358105</v>
      </c>
      <c r="D176" t="s">
        <v>70</v>
      </c>
      <c r="P176" s="4"/>
    </row>
    <row r="177" spans="2:16" x14ac:dyDescent="0.25">
      <c r="B177" s="3" t="s">
        <v>78</v>
      </c>
      <c r="C177" s="11">
        <f>V_2/M_2</f>
        <v>1255.6221464748085</v>
      </c>
      <c r="D177" t="s">
        <v>25</v>
      </c>
      <c r="P177" s="4"/>
    </row>
    <row r="178" spans="2:16" x14ac:dyDescent="0.25">
      <c r="B178" s="24" t="str">
        <f>B177</f>
        <v>c2</v>
      </c>
      <c r="C178" s="21">
        <f>c_2/3.28</f>
        <v>382.81163002280749</v>
      </c>
      <c r="D178" t="s">
        <v>88</v>
      </c>
      <c r="P178" s="4"/>
    </row>
    <row r="179" spans="2:16" x14ac:dyDescent="0.25">
      <c r="B179" s="3"/>
      <c r="P179" s="4"/>
    </row>
    <row r="180" spans="2:16" x14ac:dyDescent="0.25">
      <c r="B180" s="3"/>
      <c r="P180" s="4"/>
    </row>
    <row r="181" spans="2:16" x14ac:dyDescent="0.25">
      <c r="B181" s="3"/>
      <c r="P181" s="4"/>
    </row>
    <row r="182" spans="2:16" x14ac:dyDescent="0.25">
      <c r="B182" s="3"/>
      <c r="P182" s="4"/>
    </row>
    <row r="183" spans="2:16" x14ac:dyDescent="0.25">
      <c r="B183" s="3"/>
      <c r="P183" s="4"/>
    </row>
    <row r="184" spans="2:16" x14ac:dyDescent="0.25">
      <c r="B184" s="3"/>
      <c r="P184" s="4"/>
    </row>
    <row r="185" spans="2:16" x14ac:dyDescent="0.25">
      <c r="B185" s="3"/>
      <c r="P185" s="4"/>
    </row>
    <row r="186" spans="2:16" x14ac:dyDescent="0.25">
      <c r="B186" s="3"/>
      <c r="P186" s="4"/>
    </row>
    <row r="187" spans="2:16" x14ac:dyDescent="0.25">
      <c r="B187" s="3"/>
      <c r="P187" s="4"/>
    </row>
    <row r="188" spans="2:16" x14ac:dyDescent="0.25">
      <c r="B188" s="3"/>
      <c r="P188" s="4"/>
    </row>
    <row r="189" spans="2:16" ht="15.75" thickBot="1" x14ac:dyDescent="0.3">
      <c r="B189" s="6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2" r:id="rId4">
          <objectPr defaultSize="0" r:id="rId5">
            <anchor moveWithCells="1" sizeWithCells="1">
              <from>
                <xdr:col>5</xdr:col>
                <xdr:colOff>533400</xdr:colOff>
                <xdr:row>115</xdr:row>
                <xdr:rowOff>95250</xdr:rowOff>
              </from>
              <to>
                <xdr:col>8</xdr:col>
                <xdr:colOff>495300</xdr:colOff>
                <xdr:row>119</xdr:row>
                <xdr:rowOff>19050</xdr:rowOff>
              </to>
            </anchor>
          </objectPr>
        </oleObject>
      </mc:Choice>
      <mc:Fallback>
        <oleObject progId="Equation.3" shapeId="1032" r:id="rId4"/>
      </mc:Fallback>
    </mc:AlternateContent>
    <mc:AlternateContent xmlns:mc="http://schemas.openxmlformats.org/markup-compatibility/2006">
      <mc:Choice Requires="x14">
        <oleObject progId="Equation.3" shapeId="1033" r:id="rId6">
          <objectPr defaultSize="0" r:id="rId7">
            <anchor moveWithCells="1" sizeWithCells="1">
              <from>
                <xdr:col>4</xdr:col>
                <xdr:colOff>447675</xdr:colOff>
                <xdr:row>111</xdr:row>
                <xdr:rowOff>57150</xdr:rowOff>
              </from>
              <to>
                <xdr:col>11</xdr:col>
                <xdr:colOff>600075</xdr:colOff>
                <xdr:row>115</xdr:row>
                <xdr:rowOff>38100</xdr:rowOff>
              </to>
            </anchor>
          </objectPr>
        </oleObject>
      </mc:Choice>
      <mc:Fallback>
        <oleObject progId="Equation.3" shapeId="1033" r:id="rId6"/>
      </mc:Fallback>
    </mc:AlternateContent>
    <mc:AlternateContent xmlns:mc="http://schemas.openxmlformats.org/markup-compatibility/2006">
      <mc:Choice Requires="x14">
        <oleObject progId="Equation.3" shapeId="1035" r:id="rId8">
          <objectPr defaultSize="0" r:id="rId9">
            <anchor moveWithCells="1" sizeWithCells="1">
              <from>
                <xdr:col>5</xdr:col>
                <xdr:colOff>257175</xdr:colOff>
                <xdr:row>139</xdr:row>
                <xdr:rowOff>114300</xdr:rowOff>
              </from>
              <to>
                <xdr:col>7</xdr:col>
                <xdr:colOff>285750</xdr:colOff>
                <xdr:row>143</xdr:row>
                <xdr:rowOff>66675</xdr:rowOff>
              </to>
            </anchor>
          </objectPr>
        </oleObject>
      </mc:Choice>
      <mc:Fallback>
        <oleObject progId="Equation.3" shapeId="1035" r:id="rId8"/>
      </mc:Fallback>
    </mc:AlternateContent>
    <mc:AlternateContent xmlns:mc="http://schemas.openxmlformats.org/markup-compatibility/2006">
      <mc:Choice Requires="x14">
        <oleObject progId="Equation.3" shapeId="1037" r:id="rId10">
          <objectPr defaultSize="0" r:id="rId11">
            <anchor moveWithCells="1" sizeWithCells="1">
              <from>
                <xdr:col>5</xdr:col>
                <xdr:colOff>171450</xdr:colOff>
                <xdr:row>129</xdr:row>
                <xdr:rowOff>19050</xdr:rowOff>
              </from>
              <to>
                <xdr:col>7</xdr:col>
                <xdr:colOff>38100</xdr:colOff>
                <xdr:row>130</xdr:row>
                <xdr:rowOff>114300</xdr:rowOff>
              </to>
            </anchor>
          </objectPr>
        </oleObject>
      </mc:Choice>
      <mc:Fallback>
        <oleObject progId="Equation.3" shapeId="1037" r:id="rId10"/>
      </mc:Fallback>
    </mc:AlternateContent>
    <mc:AlternateContent xmlns:mc="http://schemas.openxmlformats.org/markup-compatibility/2006">
      <mc:Choice Requires="x14">
        <oleObject progId="Equation.3" shapeId="1038" r:id="rId12">
          <objectPr defaultSize="0" r:id="rId13">
            <anchor moveWithCells="1" sizeWithCells="1">
              <from>
                <xdr:col>6</xdr:col>
                <xdr:colOff>600075</xdr:colOff>
                <xdr:row>132</xdr:row>
                <xdr:rowOff>180975</xdr:rowOff>
              </from>
              <to>
                <xdr:col>9</xdr:col>
                <xdr:colOff>104775</xdr:colOff>
                <xdr:row>136</xdr:row>
                <xdr:rowOff>104775</xdr:rowOff>
              </to>
            </anchor>
          </objectPr>
        </oleObject>
      </mc:Choice>
      <mc:Fallback>
        <oleObject progId="Equation.3" shapeId="1038" r:id="rId12"/>
      </mc:Fallback>
    </mc:AlternateContent>
    <mc:AlternateContent xmlns:mc="http://schemas.openxmlformats.org/markup-compatibility/2006">
      <mc:Choice Requires="x14">
        <oleObject progId="Equation.3" shapeId="1039" r:id="rId14">
          <objectPr defaultSize="0" r:id="rId15">
            <anchor moveWithCells="1" sizeWithCells="1">
              <from>
                <xdr:col>5</xdr:col>
                <xdr:colOff>114300</xdr:colOff>
                <xdr:row>120</xdr:row>
                <xdr:rowOff>76200</xdr:rowOff>
              </from>
              <to>
                <xdr:col>9</xdr:col>
                <xdr:colOff>352425</xdr:colOff>
                <xdr:row>125</xdr:row>
                <xdr:rowOff>19050</xdr:rowOff>
              </to>
            </anchor>
          </objectPr>
        </oleObject>
      </mc:Choice>
      <mc:Fallback>
        <oleObject progId="Equation.3" shapeId="1039" r:id="rId14"/>
      </mc:Fallback>
    </mc:AlternateContent>
    <mc:AlternateContent xmlns:mc="http://schemas.openxmlformats.org/markup-compatibility/2006">
      <mc:Choice Requires="x14">
        <oleObject progId="Equation.3" shapeId="1040" r:id="rId16">
          <objectPr defaultSize="0" r:id="rId17">
            <anchor moveWithCells="1" sizeWithCells="1">
              <from>
                <xdr:col>5</xdr:col>
                <xdr:colOff>161925</xdr:colOff>
                <xdr:row>125</xdr:row>
                <xdr:rowOff>85725</xdr:rowOff>
              </from>
              <to>
                <xdr:col>8</xdr:col>
                <xdr:colOff>247650</xdr:colOff>
                <xdr:row>128</xdr:row>
                <xdr:rowOff>133350</xdr:rowOff>
              </to>
            </anchor>
          </objectPr>
        </oleObject>
      </mc:Choice>
      <mc:Fallback>
        <oleObject progId="Equation.3" shapeId="1040" r:id="rId16"/>
      </mc:Fallback>
    </mc:AlternateContent>
    <mc:AlternateContent xmlns:mc="http://schemas.openxmlformats.org/markup-compatibility/2006">
      <mc:Choice Requires="x14">
        <oleObject progId="Equation.3" shapeId="1042" r:id="rId18">
          <objectPr defaultSize="0" r:id="rId19">
            <anchor moveWithCells="1" sizeWithCells="1">
              <from>
                <xdr:col>5</xdr:col>
                <xdr:colOff>190500</xdr:colOff>
                <xdr:row>131</xdr:row>
                <xdr:rowOff>0</xdr:rowOff>
              </from>
              <to>
                <xdr:col>6</xdr:col>
                <xdr:colOff>552450</xdr:colOff>
                <xdr:row>132</xdr:row>
                <xdr:rowOff>95250</xdr:rowOff>
              </to>
            </anchor>
          </objectPr>
        </oleObject>
      </mc:Choice>
      <mc:Fallback>
        <oleObject progId="Equation.3" shapeId="1042" r:id="rId18"/>
      </mc:Fallback>
    </mc:AlternateContent>
    <mc:AlternateContent xmlns:mc="http://schemas.openxmlformats.org/markup-compatibility/2006">
      <mc:Choice Requires="x14">
        <oleObject progId="Equation.3" shapeId="1053" r:id="rId20">
          <objectPr defaultSize="0" r:id="rId15">
            <anchor moveWithCells="1" sizeWithCells="1">
              <from>
                <xdr:col>4</xdr:col>
                <xdr:colOff>590550</xdr:colOff>
                <xdr:row>166</xdr:row>
                <xdr:rowOff>76200</xdr:rowOff>
              </from>
              <to>
                <xdr:col>9</xdr:col>
                <xdr:colOff>219075</xdr:colOff>
                <xdr:row>171</xdr:row>
                <xdr:rowOff>19050</xdr:rowOff>
              </to>
            </anchor>
          </objectPr>
        </oleObject>
      </mc:Choice>
      <mc:Fallback>
        <oleObject progId="Equation.3" shapeId="1053" r:id="rId20"/>
      </mc:Fallback>
    </mc:AlternateContent>
    <mc:AlternateContent xmlns:mc="http://schemas.openxmlformats.org/markup-compatibility/2006">
      <mc:Choice Requires="x14">
        <oleObject progId="Equation.3" shapeId="1054" r:id="rId21">
          <objectPr defaultSize="0" r:id="rId17">
            <anchor moveWithCells="1" sizeWithCells="1">
              <from>
                <xdr:col>4</xdr:col>
                <xdr:colOff>590550</xdr:colOff>
                <xdr:row>171</xdr:row>
                <xdr:rowOff>123825</xdr:rowOff>
              </from>
              <to>
                <xdr:col>8</xdr:col>
                <xdr:colOff>66675</xdr:colOff>
                <xdr:row>174</xdr:row>
                <xdr:rowOff>171450</xdr:rowOff>
              </to>
            </anchor>
          </objectPr>
        </oleObject>
      </mc:Choice>
      <mc:Fallback>
        <oleObject progId="Equation.3" shapeId="1054" r:id="rId21"/>
      </mc:Fallback>
    </mc:AlternateContent>
    <mc:AlternateContent xmlns:mc="http://schemas.openxmlformats.org/markup-compatibility/2006">
      <mc:Choice Requires="x14">
        <oleObject progId="Equation.3" shapeId="1057" r:id="rId22">
          <objectPr defaultSize="0" r:id="rId23">
            <anchor moveWithCells="1" sizeWithCells="1">
              <from>
                <xdr:col>4</xdr:col>
                <xdr:colOff>581025</xdr:colOff>
                <xdr:row>156</xdr:row>
                <xdr:rowOff>171450</xdr:rowOff>
              </from>
              <to>
                <xdr:col>9</xdr:col>
                <xdr:colOff>171450</xdr:colOff>
                <xdr:row>161</xdr:row>
                <xdr:rowOff>57150</xdr:rowOff>
              </to>
            </anchor>
          </objectPr>
        </oleObject>
      </mc:Choice>
      <mc:Fallback>
        <oleObject progId="Equation.3" shapeId="1057" r:id="rId22"/>
      </mc:Fallback>
    </mc:AlternateContent>
    <mc:AlternateContent xmlns:mc="http://schemas.openxmlformats.org/markup-compatibility/2006">
      <mc:Choice Requires="x14">
        <oleObject progId="Equation.3" shapeId="1058" r:id="rId24">
          <objectPr defaultSize="0" r:id="rId25">
            <anchor moveWithCells="1" sizeWithCells="1">
              <from>
                <xdr:col>4</xdr:col>
                <xdr:colOff>590550</xdr:colOff>
                <xdr:row>161</xdr:row>
                <xdr:rowOff>161925</xdr:rowOff>
              </from>
              <to>
                <xdr:col>8</xdr:col>
                <xdr:colOff>180975</xdr:colOff>
                <xdr:row>165</xdr:row>
                <xdr:rowOff>180975</xdr:rowOff>
              </to>
            </anchor>
          </objectPr>
        </oleObject>
      </mc:Choice>
      <mc:Fallback>
        <oleObject progId="Equation.3" shapeId="1058" r:id="rId24"/>
      </mc:Fallback>
    </mc:AlternateContent>
    <mc:AlternateContent xmlns:mc="http://schemas.openxmlformats.org/markup-compatibility/2006">
      <mc:Choice Requires="x14">
        <oleObject progId="Equation.3" shapeId="1059" r:id="rId26">
          <objectPr defaultSize="0" r:id="rId11">
            <anchor moveWithCells="1" sizeWithCells="1">
              <from>
                <xdr:col>5</xdr:col>
                <xdr:colOff>9525</xdr:colOff>
                <xdr:row>176</xdr:row>
                <xdr:rowOff>76200</xdr:rowOff>
              </from>
              <to>
                <xdr:col>6</xdr:col>
                <xdr:colOff>485775</xdr:colOff>
                <xdr:row>177</xdr:row>
                <xdr:rowOff>171450</xdr:rowOff>
              </to>
            </anchor>
          </objectPr>
        </oleObject>
      </mc:Choice>
      <mc:Fallback>
        <oleObject progId="Equation.3" shapeId="1059" r:id="rId26"/>
      </mc:Fallback>
    </mc:AlternateContent>
    <mc:AlternateContent xmlns:mc="http://schemas.openxmlformats.org/markup-compatibility/2006">
      <mc:Choice Requires="x14">
        <oleObject progId="Equation.3" shapeId="1060" r:id="rId27">
          <objectPr defaultSize="0" r:id="rId19">
            <anchor moveWithCells="1" sizeWithCells="1">
              <from>
                <xdr:col>5</xdr:col>
                <xdr:colOff>19050</xdr:colOff>
                <xdr:row>178</xdr:row>
                <xdr:rowOff>66675</xdr:rowOff>
              </from>
              <to>
                <xdr:col>6</xdr:col>
                <xdr:colOff>381000</xdr:colOff>
                <xdr:row>179</xdr:row>
                <xdr:rowOff>161925</xdr:rowOff>
              </to>
            </anchor>
          </objectPr>
        </oleObject>
      </mc:Choice>
      <mc:Fallback>
        <oleObject progId="Equation.3" shapeId="1060" r:id="rId27"/>
      </mc:Fallback>
    </mc:AlternateContent>
    <mc:AlternateContent xmlns:mc="http://schemas.openxmlformats.org/markup-compatibility/2006">
      <mc:Choice Requires="x14">
        <oleObject progId="Equation.3" shapeId="1061" r:id="rId28">
          <objectPr defaultSize="0" r:id="rId9">
            <anchor moveWithCells="1" sizeWithCells="1">
              <from>
                <xdr:col>5</xdr:col>
                <xdr:colOff>38100</xdr:colOff>
                <xdr:row>180</xdr:row>
                <xdr:rowOff>38100</xdr:rowOff>
              </from>
              <to>
                <xdr:col>7</xdr:col>
                <xdr:colOff>66675</xdr:colOff>
                <xdr:row>183</xdr:row>
                <xdr:rowOff>180975</xdr:rowOff>
              </to>
            </anchor>
          </objectPr>
        </oleObject>
      </mc:Choice>
      <mc:Fallback>
        <oleObject progId="Equation.3" shapeId="1061" r:id="rId28"/>
      </mc:Fallback>
    </mc:AlternateContent>
    <mc:AlternateContent xmlns:mc="http://schemas.openxmlformats.org/markup-compatibility/2006">
      <mc:Choice Requires="x14">
        <oleObject progId="Equation.3" shapeId="1062" r:id="rId29">
          <objectPr defaultSize="0" r:id="rId5">
            <anchor moveWithCells="1" sizeWithCells="1">
              <from>
                <xdr:col>2</xdr:col>
                <xdr:colOff>171450</xdr:colOff>
                <xdr:row>52</xdr:row>
                <xdr:rowOff>85725</xdr:rowOff>
              </from>
              <to>
                <xdr:col>4</xdr:col>
                <xdr:colOff>219075</xdr:colOff>
                <xdr:row>56</xdr:row>
                <xdr:rowOff>9525</xdr:rowOff>
              </to>
            </anchor>
          </objectPr>
        </oleObject>
      </mc:Choice>
      <mc:Fallback>
        <oleObject progId="Equation.3" shapeId="1062" r:id="rId29"/>
      </mc:Fallback>
    </mc:AlternateContent>
    <mc:AlternateContent xmlns:mc="http://schemas.openxmlformats.org/markup-compatibility/2006">
      <mc:Choice Requires="x14">
        <oleObject progId="Equation.3" shapeId="1063" r:id="rId30">
          <objectPr defaultSize="0" r:id="rId7">
            <anchor moveWithCells="1" sizeWithCells="1">
              <from>
                <xdr:col>4</xdr:col>
                <xdr:colOff>428625</xdr:colOff>
                <xdr:row>52</xdr:row>
                <xdr:rowOff>76200</xdr:rowOff>
              </from>
              <to>
                <xdr:col>11</xdr:col>
                <xdr:colOff>581025</xdr:colOff>
                <xdr:row>56</xdr:row>
                <xdr:rowOff>57150</xdr:rowOff>
              </to>
            </anchor>
          </objectPr>
        </oleObject>
      </mc:Choice>
      <mc:Fallback>
        <oleObject progId="Equation.3" shapeId="1063" r:id="rId30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B72D0-8140-43AC-BA05-BA22E02C9096}">
  <dimension ref="A1:AG77"/>
  <sheetViews>
    <sheetView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F3" sqref="F3"/>
    </sheetView>
  </sheetViews>
  <sheetFormatPr defaultRowHeight="15" x14ac:dyDescent="0.25"/>
  <sheetData>
    <row r="1" spans="1:33" x14ac:dyDescent="0.25">
      <c r="D1" s="33" t="s">
        <v>110</v>
      </c>
      <c r="E1" s="33" t="s">
        <v>110</v>
      </c>
      <c r="F1" s="33" t="s">
        <v>111</v>
      </c>
      <c r="G1" s="33" t="s">
        <v>20</v>
      </c>
      <c r="H1" s="33" t="s">
        <v>112</v>
      </c>
      <c r="I1" s="33" t="s">
        <v>112</v>
      </c>
      <c r="J1" s="33" t="s">
        <v>113</v>
      </c>
      <c r="K1" s="33" t="s">
        <v>113</v>
      </c>
      <c r="L1" s="33" t="s">
        <v>68</v>
      </c>
      <c r="M1" s="33" t="s">
        <v>68</v>
      </c>
      <c r="N1" s="33" t="s">
        <v>68</v>
      </c>
      <c r="O1" s="33" t="s">
        <v>68</v>
      </c>
      <c r="P1" s="33" t="s">
        <v>114</v>
      </c>
      <c r="Q1" s="33" t="s">
        <v>114</v>
      </c>
      <c r="R1" s="33" t="s">
        <v>114</v>
      </c>
      <c r="S1" s="33" t="s">
        <v>114</v>
      </c>
      <c r="T1" s="33" t="s">
        <v>115</v>
      </c>
      <c r="U1" s="33" t="s">
        <v>115</v>
      </c>
      <c r="V1" s="33" t="s">
        <v>67</v>
      </c>
      <c r="W1" s="33" t="s">
        <v>67</v>
      </c>
      <c r="X1" s="33" t="s">
        <v>116</v>
      </c>
      <c r="Y1" s="33" t="s">
        <v>116</v>
      </c>
      <c r="AA1" s="34" t="s">
        <v>117</v>
      </c>
      <c r="AB1" s="34" t="s">
        <v>111</v>
      </c>
      <c r="AC1" s="34" t="s">
        <v>118</v>
      </c>
      <c r="AD1" s="34" t="s">
        <v>119</v>
      </c>
      <c r="AE1" s="34" t="s">
        <v>120</v>
      </c>
      <c r="AF1" s="34" t="s">
        <v>121</v>
      </c>
      <c r="AG1" s="34" t="s">
        <v>122</v>
      </c>
    </row>
    <row r="2" spans="1:33" x14ac:dyDescent="0.25">
      <c r="D2" s="33" t="s">
        <v>15</v>
      </c>
      <c r="E2" s="33" t="s">
        <v>58</v>
      </c>
      <c r="F2" s="33"/>
      <c r="G2" s="33" t="s">
        <v>123</v>
      </c>
      <c r="H2" s="33" t="s">
        <v>1</v>
      </c>
      <c r="I2" s="33" t="s">
        <v>69</v>
      </c>
      <c r="J2" s="33" t="s">
        <v>1</v>
      </c>
      <c r="K2" s="33" t="s">
        <v>69</v>
      </c>
      <c r="L2" s="33" t="s">
        <v>21</v>
      </c>
      <c r="M2" s="33" t="s">
        <v>124</v>
      </c>
      <c r="N2" s="33" t="s">
        <v>2</v>
      </c>
      <c r="O2" s="33" t="s">
        <v>85</v>
      </c>
      <c r="P2" s="33" t="s">
        <v>21</v>
      </c>
      <c r="Q2" s="33" t="s">
        <v>124</v>
      </c>
      <c r="R2" s="33" t="s">
        <v>2</v>
      </c>
      <c r="S2" s="33" t="s">
        <v>85</v>
      </c>
      <c r="T2" s="33" t="s">
        <v>125</v>
      </c>
      <c r="U2" s="33" t="s">
        <v>86</v>
      </c>
      <c r="V2" s="33" t="s">
        <v>25</v>
      </c>
      <c r="W2" s="33" t="s">
        <v>87</v>
      </c>
      <c r="X2" s="33" t="s">
        <v>25</v>
      </c>
      <c r="Y2" s="33" t="s">
        <v>87</v>
      </c>
      <c r="AA2" s="34"/>
      <c r="AB2" s="34"/>
      <c r="AC2" s="34"/>
      <c r="AD2" s="34"/>
      <c r="AE2" s="34"/>
      <c r="AF2" s="34"/>
      <c r="AG2" s="34"/>
    </row>
    <row r="3" spans="1:33" x14ac:dyDescent="0.25">
      <c r="D3">
        <v>0</v>
      </c>
      <c r="E3">
        <f>D3/3.28</f>
        <v>0</v>
      </c>
      <c r="F3">
        <f>M_1</f>
        <v>0.14762323347790815</v>
      </c>
      <c r="G3">
        <f>(Gam/Z/Rg)^0.5*F3*(1+F3^2*(Gam-1)/2)^(-(Gam+1)/2/(Gam-1))</f>
        <v>2.3603314882924411E-2</v>
      </c>
      <c r="H3">
        <f>P_1</f>
        <v>393.95743156932838</v>
      </c>
      <c r="I3" s="21">
        <f>H3*6.89476</f>
        <v>2716.2419408869423</v>
      </c>
      <c r="J3">
        <f>Po_1</f>
        <v>400</v>
      </c>
      <c r="K3" s="21">
        <f>J3*6.89476</f>
        <v>2757.904</v>
      </c>
      <c r="L3">
        <f>T_1</f>
        <v>656.80728978724233</v>
      </c>
      <c r="M3">
        <f>L3/1.8</f>
        <v>364.89293877069019</v>
      </c>
      <c r="N3">
        <f>L3-'Example 6.3 - Pipe P1'!$C$8</f>
        <v>197.13728978724231</v>
      </c>
      <c r="O3">
        <f>M3-'Example 6.3 - Pipe P1'!$C$9</f>
        <v>91.742938770690216</v>
      </c>
      <c r="P3">
        <f>To_1</f>
        <v>659.67000000000007</v>
      </c>
      <c r="Q3">
        <f>P3/1.8</f>
        <v>366.48333333333335</v>
      </c>
      <c r="R3">
        <f>P3-'Example 6.3 - Pipe P1'!$C$8</f>
        <v>200.00000000000006</v>
      </c>
      <c r="S3">
        <f>Q3-'Example 6.3 - Pipe P1'!$C$9</f>
        <v>93.333333333333371</v>
      </c>
      <c r="T3">
        <f>rho_1</f>
        <v>1.6188812037953075</v>
      </c>
      <c r="U3">
        <f>T3*16.01846</f>
        <v>25.931983807746985</v>
      </c>
      <c r="V3">
        <f>(Gam*H3/T3*gc*144)^0.5</f>
        <v>1256.3624592511985</v>
      </c>
      <c r="W3">
        <f>V3/3.28</f>
        <v>383.03733513756055</v>
      </c>
      <c r="X3">
        <f>F3*V3</f>
        <v>185.46828865491855</v>
      </c>
      <c r="Y3">
        <f>X3/3.28</f>
        <v>56.545209955767852</v>
      </c>
      <c r="AA3">
        <f>D3/$D$30</f>
        <v>0</v>
      </c>
      <c r="AB3">
        <f>F3</f>
        <v>0.14762323347790815</v>
      </c>
      <c r="AC3">
        <f>H3/$H$3</f>
        <v>1</v>
      </c>
      <c r="AD3">
        <f>J3/$J$3</f>
        <v>1</v>
      </c>
      <c r="AE3">
        <f>L3/$L$3</f>
        <v>1</v>
      </c>
      <c r="AF3">
        <f>T3/$T$3</f>
        <v>1</v>
      </c>
      <c r="AG3">
        <f>X3/$X$3</f>
        <v>1</v>
      </c>
    </row>
    <row r="4" spans="1:33" x14ac:dyDescent="0.25">
      <c r="D4">
        <f>(1/Gam*(1/M_1^2-1/F4^2)+(Gam+1)/2/Gam*LN((M_1^2/F4^2)*(1+F4^2*(Gam-1)/2)/(1+M_1^2*(Gam-1)/2)))*D/f</f>
        <v>15.498560242387551</v>
      </c>
      <c r="E4">
        <f>D4/3.28</f>
        <v>4.7251708056059609</v>
      </c>
      <c r="F4">
        <f>F3+0.0025</f>
        <v>0.15012323347790815</v>
      </c>
      <c r="G4">
        <f>(Gam/Z/Rg)^0.5*F4*(1+F4^2*(Gam-1)/2)^(-(Gam+1)/2/(Gam-1))</f>
        <v>2.3992366562827206E-2</v>
      </c>
      <c r="H4">
        <f>J4/(1+(Gam-1)/2*F4^2)^(Gam/(Gam-1))</f>
        <v>387.36815607210701</v>
      </c>
      <c r="I4" s="21">
        <f>H4*6.89476</f>
        <v>2670.8104677597203</v>
      </c>
      <c r="J4">
        <f>mdot*P4^0.5/A/G4/gc^0.5/144</f>
        <v>393.51374231659867</v>
      </c>
      <c r="K4" s="21">
        <f>J4*6.89476</f>
        <v>2713.1828099747918</v>
      </c>
      <c r="L4">
        <f>P4/(1+(Gam-1)/2*F4^2)</f>
        <v>656.70994752247645</v>
      </c>
      <c r="M4">
        <f>L4/1.8</f>
        <v>364.83885973470916</v>
      </c>
      <c r="N4">
        <f>L4-'Example 6.3 - Pipe P1'!$C$8</f>
        <v>197.03994752247644</v>
      </c>
      <c r="O4">
        <f>M4-'Example 6.3 - Pipe P1'!$C$9</f>
        <v>91.688859734709183</v>
      </c>
      <c r="P4">
        <f>P3</f>
        <v>659.67000000000007</v>
      </c>
      <c r="Q4">
        <f>Q3</f>
        <v>366.48333333333335</v>
      </c>
      <c r="R4">
        <f>P4-'Example 6.3 - Pipe P1'!$C$8</f>
        <v>200.00000000000006</v>
      </c>
      <c r="S4">
        <f>Q4-'Example 6.3 - Pipe P1'!$C$9</f>
        <v>93.333333333333371</v>
      </c>
      <c r="T4">
        <f>H4/L4/Rg/Z*144</f>
        <v>1.5920399775932534</v>
      </c>
      <c r="U4">
        <f>T4*16.01846</f>
        <v>25.502028699478426</v>
      </c>
      <c r="V4">
        <f>(Gam*H4/T4*gc*144)^0.5</f>
        <v>1256.2693560680752</v>
      </c>
      <c r="W4">
        <f>V4/3.28</f>
        <v>383.0089500207547</v>
      </c>
      <c r="X4">
        <f>F4*V4</f>
        <v>188.59521785214898</v>
      </c>
      <c r="Y4">
        <f>X4/3.28</f>
        <v>57.498542028094207</v>
      </c>
      <c r="AA4">
        <f>D4/$D$30</f>
        <v>0.12399110165663667</v>
      </c>
      <c r="AB4">
        <f>F4</f>
        <v>0.15012323347790815</v>
      </c>
      <c r="AC4">
        <f>H4/$H$3</f>
        <v>0.98327414342465125</v>
      </c>
      <c r="AD4">
        <f>J4/$J$3</f>
        <v>0.9837843557914967</v>
      </c>
      <c r="AE4">
        <f>L4/$L$3</f>
        <v>0.99985179478626462</v>
      </c>
      <c r="AF4">
        <f>T4/$T$3</f>
        <v>0.98341989137984465</v>
      </c>
      <c r="AG4">
        <f>X4/$X$3</f>
        <v>1.0168596433379959</v>
      </c>
    </row>
    <row r="5" spans="1:33" x14ac:dyDescent="0.25">
      <c r="D5">
        <f>(1/Gam*(1/M_1^2-1/F5^2)+(Gam+1)/2/Gam*LN((M_1^2/F5^2)*(1+F5^2*(Gam-1)/2)/(1+M_1^2*(Gam-1)/2)))*D/f</f>
        <v>30.228247977771066</v>
      </c>
      <c r="E5">
        <f>D5/3.28</f>
        <v>9.2159292615155692</v>
      </c>
      <c r="F5">
        <f>F4+0.0025</f>
        <v>0.15262323347790815</v>
      </c>
      <c r="G5">
        <f>(Gam/Z/Rg)^0.5*F5*(1+F5^2*(Gam-1)/2)^(-(Gam+1)/2/(Gam-1))</f>
        <v>2.4380887269434288E-2</v>
      </c>
      <c r="H5">
        <f>J5/(1+(Gam-1)/2*F5^2)^(Gam/(Gam-1))</f>
        <v>380.9942801960446</v>
      </c>
      <c r="I5" s="21">
        <f>H5*6.89476</f>
        <v>2626.8641233244803</v>
      </c>
      <c r="J5">
        <f>mdot*P5^0.5/A/G5/gc^0.5/144</f>
        <v>387.24291896489427</v>
      </c>
      <c r="K5" s="21">
        <f>J5*6.89476</f>
        <v>2669.9469879623944</v>
      </c>
      <c r="L5">
        <f>P5/(1+(Gam-1)/2*F5^2)</f>
        <v>656.61100018716786</v>
      </c>
      <c r="M5">
        <f>L5/1.8</f>
        <v>364.78388899287103</v>
      </c>
      <c r="N5">
        <f>L5-'Example 6.3 - Pipe P1'!$C$8</f>
        <v>196.94100018716784</v>
      </c>
      <c r="O5">
        <f>M5-'Example 6.3 - Pipe P1'!$C$9</f>
        <v>91.63388899287105</v>
      </c>
      <c r="P5">
        <f>P4</f>
        <v>659.67000000000007</v>
      </c>
      <c r="Q5">
        <f>Q4</f>
        <v>366.48333333333335</v>
      </c>
      <c r="R5">
        <f>P5-'Example 6.3 - Pipe P1'!$C$8</f>
        <v>200.00000000000006</v>
      </c>
      <c r="S5">
        <f>Q5-'Example 6.3 - Pipe P1'!$C$9</f>
        <v>93.333333333333371</v>
      </c>
      <c r="T5">
        <f>H5/L5/Rg/Z*144</f>
        <v>1.5660800209430081</v>
      </c>
      <c r="U5">
        <f>T5*16.01846</f>
        <v>25.08619017227474</v>
      </c>
      <c r="V5">
        <f>(Gam*H5/T5*gc*144)^0.5</f>
        <v>1256.1747106402765</v>
      </c>
      <c r="W5">
        <f>V5/3.28</f>
        <v>382.98009470740141</v>
      </c>
      <c r="X5">
        <f>F5*V5</f>
        <v>191.72144615109465</v>
      </c>
      <c r="Y5">
        <f>X5/3.28</f>
        <v>58.451660411919107</v>
      </c>
      <c r="AA5">
        <f>D5/$D$30</f>
        <v>0.24183109329492466</v>
      </c>
      <c r="AB5">
        <f>F5</f>
        <v>0.15262323347790815</v>
      </c>
      <c r="AC5">
        <f>H5/$H$3</f>
        <v>0.96709504546812308</v>
      </c>
      <c r="AD5">
        <f>J5/$J$3</f>
        <v>0.96810729741223567</v>
      </c>
      <c r="AE5">
        <f>L5/$L$3</f>
        <v>0.9997011458259879</v>
      </c>
      <c r="AF5">
        <f>T5/$T$3</f>
        <v>0.96738415225989882</v>
      </c>
      <c r="AG5">
        <f>X5/$X$3</f>
        <v>1.0337155076025459</v>
      </c>
    </row>
    <row r="6" spans="1:33" x14ac:dyDescent="0.25">
      <c r="D6">
        <f>(1/Gam*(1/M_1^2-1/F6^2)+(Gam+1)/2/Gam*LN((M_1^2/F6^2)*(1+F6^2*(Gam-1)/2)/(1+M_1^2*(Gam-1)/2)))*D/f</f>
        <v>44.238448710765859</v>
      </c>
      <c r="E6">
        <f>D6/3.28</f>
        <v>13.487331924013983</v>
      </c>
      <c r="F6">
        <f>F5+0.0025</f>
        <v>0.15512323347790816</v>
      </c>
      <c r="G6">
        <f>(Gam/Z/Rg)^0.5*F6*(1+F6^2*(Gam-1)/2)^(-(Gam+1)/2/(Gam-1))</f>
        <v>2.4768868704121413E-2</v>
      </c>
      <c r="H6">
        <f>J6/(1+(Gam-1)/2*F6^2)^(Gam/(Gam-1))</f>
        <v>374.82538997262981</v>
      </c>
      <c r="I6" s="21">
        <f>H6*6.89476</f>
        <v>2584.3311057676892</v>
      </c>
      <c r="J6">
        <f>mdot*P6^0.5/A/G6/gc^0.5/144</f>
        <v>381.17711656321126</v>
      </c>
      <c r="K6" s="21">
        <f>J6*6.89476</f>
        <v>2628.1247361953665</v>
      </c>
      <c r="L6">
        <f>P6/(1+(Gam-1)/2*F6^2)</f>
        <v>656.51044924527014</v>
      </c>
      <c r="M6">
        <f>L6/1.8</f>
        <v>364.72802735848342</v>
      </c>
      <c r="N6">
        <f>L6-'Example 6.3 - Pipe P1'!$C$8</f>
        <v>196.84044924527012</v>
      </c>
      <c r="O6">
        <f>M6-'Example 6.3 - Pipe P1'!$C$9</f>
        <v>91.578027358483439</v>
      </c>
      <c r="P6">
        <f>P5</f>
        <v>659.67000000000007</v>
      </c>
      <c r="Q6">
        <f>Q5</f>
        <v>366.48333333333335</v>
      </c>
      <c r="R6">
        <f>P6-'Example 6.3 - Pipe P1'!$C$8</f>
        <v>200.00000000000006</v>
      </c>
      <c r="S6">
        <f>Q6-'Example 6.3 - Pipe P1'!$C$9</f>
        <v>93.333333333333371</v>
      </c>
      <c r="T6">
        <f>H6/L6/Rg/Z*144</f>
        <v>1.5409587252139771</v>
      </c>
      <c r="U6">
        <f>T6*16.01846</f>
        <v>24.683785701491086</v>
      </c>
      <c r="V6">
        <f>(Gam*H6/T6*gc*144)^0.5</f>
        <v>1256.0785240196444</v>
      </c>
      <c r="W6">
        <f>V6/3.28</f>
        <v>382.9507695181843</v>
      </c>
      <c r="X6">
        <f>F6*V6</f>
        <v>194.84696214808557</v>
      </c>
      <c r="Y6">
        <f>X6/3.28</f>
        <v>59.404561630513896</v>
      </c>
      <c r="AA6">
        <f>D6/$D$30</f>
        <v>0.35391506729940525</v>
      </c>
      <c r="AB6">
        <f>F6</f>
        <v>0.15512323347790816</v>
      </c>
      <c r="AC6">
        <f>H6/$H$3</f>
        <v>0.95143627188225355</v>
      </c>
      <c r="AD6">
        <f>J6/$J$3</f>
        <v>0.95294279140802818</v>
      </c>
      <c r="AE6">
        <f>L6/$L$3</f>
        <v>0.99954805534806357</v>
      </c>
      <c r="AF6">
        <f>T6/$T$3</f>
        <v>0.95186646283949139</v>
      </c>
      <c r="AG6">
        <f>X6/$X$3</f>
        <v>1.0505675313078287</v>
      </c>
    </row>
    <row r="7" spans="1:33" x14ac:dyDescent="0.25">
      <c r="D7">
        <f>(1/Gam*(1/M_1^2-1/F7^2)+(Gam+1)/2/Gam*LN((M_1^2/F7^2)*(1+F7^2*(Gam-1)/2)/(1+M_1^2*(Gam-1)/2)))*D/f</f>
        <v>57.574655863057828</v>
      </c>
      <c r="E7">
        <f>D7/3.28</f>
        <v>17.553248738737143</v>
      </c>
      <c r="F7">
        <f>F6+0.0025</f>
        <v>0.15762323347790816</v>
      </c>
      <c r="G7">
        <f>(Gam/Z/Rg)^0.5*F7*(1+F7^2*(Gam-1)/2)^(-(Gam+1)/2/(Gam-1))</f>
        <v>2.5156302594603216E-2</v>
      </c>
      <c r="H7">
        <f>J7/(1+(Gam-1)/2*F7^2)^(Gam/(Gam-1))</f>
        <v>368.85173212566019</v>
      </c>
      <c r="I7" s="21">
        <f>H7*6.89476</f>
        <v>2543.1441685907166</v>
      </c>
      <c r="J7">
        <f>mdot*P7^0.5/A/G7/gc^0.5/144</f>
        <v>375.30658242261768</v>
      </c>
      <c r="K7" s="21">
        <f>J7*6.89476</f>
        <v>2587.6488122241676</v>
      </c>
      <c r="L7">
        <f>P7/(1+(Gam-1)/2*F7^2)</f>
        <v>656.40829618378291</v>
      </c>
      <c r="M7">
        <f>L7/1.8</f>
        <v>364.67127565765719</v>
      </c>
      <c r="N7">
        <f>L7-'Example 6.3 - Pipe P1'!$C$8</f>
        <v>196.73829618378289</v>
      </c>
      <c r="O7">
        <f>M7-'Example 6.3 - Pipe P1'!$C$9</f>
        <v>91.521275657657213</v>
      </c>
      <c r="P7">
        <f>P6</f>
        <v>659.67000000000007</v>
      </c>
      <c r="Q7">
        <f>Q6</f>
        <v>366.48333333333335</v>
      </c>
      <c r="R7">
        <f>P7-'Example 6.3 - Pipe P1'!$C$8</f>
        <v>200.00000000000006</v>
      </c>
      <c r="S7">
        <f>Q7-'Example 6.3 - Pipe P1'!$C$9</f>
        <v>93.333333333333371</v>
      </c>
      <c r="T7">
        <f>H7/L7/Rg/Z*144</f>
        <v>1.5166361849635281</v>
      </c>
      <c r="U7">
        <f>T7*16.01846</f>
        <v>24.294176063390879</v>
      </c>
      <c r="V7">
        <f>(Gam*H7/T7*gc*144)^0.5</f>
        <v>1255.9807972747146</v>
      </c>
      <c r="W7">
        <f>V7/3.28</f>
        <v>382.92097477887643</v>
      </c>
      <c r="X7">
        <f>F7*V7</f>
        <v>197.97175445260157</v>
      </c>
      <c r="Y7">
        <f>X7/3.28</f>
        <v>60.357242211159019</v>
      </c>
      <c r="AA7">
        <f>D7/$D$30</f>
        <v>0.46060697873330669</v>
      </c>
      <c r="AB7">
        <f>F7</f>
        <v>0.15762323347790816</v>
      </c>
      <c r="AC7">
        <f>H7/$H$3</f>
        <v>0.93627306548410649</v>
      </c>
      <c r="AD7">
        <f>J7/$J$3</f>
        <v>0.93826645605654424</v>
      </c>
      <c r="AE7">
        <f>L7/$L$3</f>
        <v>0.99939252561647318</v>
      </c>
      <c r="AF7">
        <f>T7/$T$3</f>
        <v>0.93684217310567564</v>
      </c>
      <c r="AG7">
        <f>X7/$X$3</f>
        <v>1.0674156530389241</v>
      </c>
    </row>
    <row r="8" spans="1:33" x14ac:dyDescent="0.25">
      <c r="D8">
        <f>(1/Gam*(1/M_1^2-1/F8^2)+(Gam+1)/2/Gam*LN((M_1^2/F8^2)*(1+F8^2*(Gam-1)/2)/(1+M_1^2*(Gam-1)/2)))*D/f</f>
        <v>70.278832824833017</v>
      </c>
      <c r="E8">
        <f>D8/3.28</f>
        <v>21.426473422205188</v>
      </c>
      <c r="F8">
        <f>F7+0.0025</f>
        <v>0.16012323347790816</v>
      </c>
      <c r="G8">
        <f>(Gam/Z/Rg)^0.5*F8*(1+F8^2*(Gam-1)/2)^(-(Gam+1)/2/(Gam-1))</f>
        <v>2.5543180695316501E-2</v>
      </c>
      <c r="H8">
        <f>J8/(1+(Gam-1)/2*F8^2)^(Gam/(Gam-1))</f>
        <v>363.06416249436927</v>
      </c>
      <c r="I8" s="21">
        <f>H8*6.89476</f>
        <v>2503.2402649996775</v>
      </c>
      <c r="J8">
        <f>mdot*P8^0.5/A/G8/gc^0.5/144</f>
        <v>369.62217297005958</v>
      </c>
      <c r="K8" s="21">
        <f>J8*6.89476</f>
        <v>2548.4561733070477</v>
      </c>
      <c r="L8">
        <f>P8/(1+(Gam-1)/2*F8^2)</f>
        <v>656.3045425126968</v>
      </c>
      <c r="M8">
        <f>L8/1.8</f>
        <v>364.61363472927599</v>
      </c>
      <c r="N8">
        <f>L8-'Example 6.3 - Pipe P1'!$C$8</f>
        <v>196.63454251269678</v>
      </c>
      <c r="O8">
        <f>M8-'Example 6.3 - Pipe P1'!$C$9</f>
        <v>91.463634729276009</v>
      </c>
      <c r="P8">
        <f>P7</f>
        <v>659.67000000000007</v>
      </c>
      <c r="Q8">
        <f>Q7</f>
        <v>366.48333333333335</v>
      </c>
      <c r="R8">
        <f>P8-'Example 6.3 - Pipe P1'!$C$8</f>
        <v>200.00000000000006</v>
      </c>
      <c r="S8">
        <f>Q8-'Example 6.3 - Pipe P1'!$C$9</f>
        <v>93.333333333333371</v>
      </c>
      <c r="T8">
        <f>H8/L8/Rg/Z*144</f>
        <v>1.4930749869129658</v>
      </c>
      <c r="U8">
        <f>T8*16.01846</f>
        <v>23.916761954865869</v>
      </c>
      <c r="V8">
        <f>(Gam*H8/T8*gc*144)^0.5</f>
        <v>1255.8815314906847</v>
      </c>
      <c r="W8">
        <f>V8/3.28</f>
        <v>382.8907108203307</v>
      </c>
      <c r="X8">
        <f>F8*V8</f>
        <v>201.09581168747576</v>
      </c>
      <c r="Y8">
        <f>X8/3.28</f>
        <v>61.30969868520603</v>
      </c>
      <c r="AA8">
        <f>D8/$D$30</f>
        <v>0.56224254181117805</v>
      </c>
      <c r="AB8">
        <f>F8</f>
        <v>0.16012323347790816</v>
      </c>
      <c r="AC8">
        <f>H8/$H$3</f>
        <v>0.92158221523605777</v>
      </c>
      <c r="AD8">
        <f>J8/$J$3</f>
        <v>0.92405543242514898</v>
      </c>
      <c r="AE8">
        <f>L8/$L$3</f>
        <v>0.99923455893020252</v>
      </c>
      <c r="AF8">
        <f>T8/$T$3</f>
        <v>0.92228817248146344</v>
      </c>
      <c r="AG8">
        <f>X8/$X$3</f>
        <v>1.0842598114529094</v>
      </c>
    </row>
    <row r="9" spans="1:33" x14ac:dyDescent="0.25">
      <c r="D9">
        <f>(1/Gam*(1/M_1^2-1/F9^2)+(Gam+1)/2/Gam*LN((M_1^2/F9^2)*(1+F9^2*(Gam-1)/2)/(1+M_1^2*(Gam-1)/2)))*D/f</f>
        <v>82.389736329021872</v>
      </c>
      <c r="E9">
        <f>D9/3.28</f>
        <v>25.118822051531058</v>
      </c>
      <c r="F9">
        <f>F8+0.0025</f>
        <v>0.16262323347790816</v>
      </c>
      <c r="G9">
        <f>(Gam/Z/Rg)^0.5*F9*(1+F9^2*(Gam-1)/2)^(-(Gam+1)/2/(Gam-1))</f>
        <v>2.5929494787801152E-2</v>
      </c>
      <c r="H9">
        <f>J9/(1+(Gam-1)/2*F9^2)^(Gam/(Gam-1))</f>
        <v>357.45409921389046</v>
      </c>
      <c r="I9" s="21">
        <f>H9*6.89476</f>
        <v>2464.5602250959632</v>
      </c>
      <c r="J9">
        <f>mdot*P9^0.5/A/G9/gc^0.5/144</f>
        <v>364.1153069288319</v>
      </c>
      <c r="K9" s="21">
        <f>J9*6.89476</f>
        <v>2510.4876536006332</v>
      </c>
      <c r="L9">
        <f>P9/(1+(Gam-1)/2*F9^2)</f>
        <v>656.19918976493841</v>
      </c>
      <c r="M9">
        <f>L9/1.8</f>
        <v>364.5551054249658</v>
      </c>
      <c r="N9">
        <f>L9-'Example 6.3 - Pipe P1'!$C$8</f>
        <v>196.52918976493839</v>
      </c>
      <c r="O9">
        <f>M9-'Example 6.3 - Pipe P1'!$C$9</f>
        <v>91.405105424965825</v>
      </c>
      <c r="P9">
        <f>P8</f>
        <v>659.67000000000007</v>
      </c>
      <c r="Q9">
        <f>Q8</f>
        <v>366.48333333333335</v>
      </c>
      <c r="R9">
        <f>P9-'Example 6.3 - Pipe P1'!$C$8</f>
        <v>200.00000000000006</v>
      </c>
      <c r="S9">
        <f>Q9-'Example 6.3 - Pipe P1'!$C$9</f>
        <v>93.333333333333371</v>
      </c>
      <c r="T9">
        <f>H9/L9/Rg/Z*144</f>
        <v>1.4702400183878945</v>
      </c>
      <c r="U9">
        <f>T9*16.01846</f>
        <v>23.550980924945755</v>
      </c>
      <c r="V9">
        <f>(Gam*H9/T9*gc*144)^0.5</f>
        <v>1255.7807277693796</v>
      </c>
      <c r="W9">
        <f>V9/3.28</f>
        <v>382.85997797846943</v>
      </c>
      <c r="X9">
        <f>F9*V9</f>
        <v>204.21912248909726</v>
      </c>
      <c r="Y9">
        <f>X9/3.28</f>
        <v>62.261927588139415</v>
      </c>
      <c r="AA9">
        <f>D9/$D$30</f>
        <v>0.65913181694750322</v>
      </c>
      <c r="AB9">
        <f>F9</f>
        <v>0.16262323347790816</v>
      </c>
      <c r="AC9">
        <f>H9/$H$3</f>
        <v>0.90734193740164515</v>
      </c>
      <c r="AD9">
        <f>J9/$J$3</f>
        <v>0.91028826732207979</v>
      </c>
      <c r="AE9">
        <f>L9/$L$3</f>
        <v>0.99907415762315777</v>
      </c>
      <c r="AF9">
        <f>T9/$T$3</f>
        <v>0.90818277149741533</v>
      </c>
      <c r="AG9">
        <f>X9/$X$3</f>
        <v>1.1010999452799526</v>
      </c>
    </row>
    <row r="10" spans="1:33" x14ac:dyDescent="0.25">
      <c r="D10">
        <f>(1/Gam*(1/M_1^2-1/F10^2)+(Gam+1)/2/Gam*LN((M_1^2/F10^2)*(1+F10^2*(Gam-1)/2)/(1+M_1^2*(Gam-1)/2)))*D/f</f>
        <v>93.943205798490609</v>
      </c>
      <c r="E10">
        <f>D10/3.28</f>
        <v>28.641221280027626</v>
      </c>
      <c r="F10">
        <f>F9+0.0025</f>
        <v>0.16512323347790817</v>
      </c>
      <c r="G10">
        <f>(Gam/Z/Rg)^0.5*F10*(1+F10^2*(Gam-1)/2)^(-(Gam+1)/2/(Gam-1))</f>
        <v>2.6315236681078803E-2</v>
      </c>
      <c r="H10">
        <f>J10/(1+(Gam-1)/2*F10^2)^(Gam/(Gam-1))</f>
        <v>352.01348014886497</v>
      </c>
      <c r="I10" s="21">
        <f>H10*6.89476</f>
        <v>2427.048462391188</v>
      </c>
      <c r="J10">
        <f>mdot*P10^0.5/A/G10/gc^0.5/144</f>
        <v>358.77792275219292</v>
      </c>
      <c r="K10" s="21">
        <f>J10*6.89476</f>
        <v>2473.6876706749094</v>
      </c>
      <c r="L10">
        <f>P10/(1+(Gam-1)/2*F10^2)</f>
        <v>656.09223949631382</v>
      </c>
      <c r="M10">
        <f>L10/1.8</f>
        <v>364.49568860906322</v>
      </c>
      <c r="N10">
        <f>L10-'Example 6.3 - Pipe P1'!$C$8</f>
        <v>196.42223949631381</v>
      </c>
      <c r="O10">
        <f>M10-'Example 6.3 - Pipe P1'!$C$9</f>
        <v>91.345688609063245</v>
      </c>
      <c r="P10">
        <f>P9</f>
        <v>659.67000000000007</v>
      </c>
      <c r="Q10">
        <f>Q9</f>
        <v>366.48333333333335</v>
      </c>
      <c r="R10">
        <f>P10-'Example 6.3 - Pipe P1'!$C$8</f>
        <v>200.00000000000006</v>
      </c>
      <c r="S10">
        <f>Q10-'Example 6.3 - Pipe P1'!$C$9</f>
        <v>93.333333333333371</v>
      </c>
      <c r="T10">
        <f>H10/L10/Rg/Z*144</f>
        <v>1.448098293160097</v>
      </c>
      <c r="U10">
        <f>T10*16.01846</f>
        <v>23.196304585053287</v>
      </c>
      <c r="V10">
        <f>(Gam*H10/T10*gc*144)^0.5</f>
        <v>1255.6783872292201</v>
      </c>
      <c r="W10">
        <f>V10/3.28</f>
        <v>382.82877659427447</v>
      </c>
      <c r="X10">
        <f>F10*V10</f>
        <v>207.3416755076137</v>
      </c>
      <c r="Y10">
        <f>X10/3.28</f>
        <v>63.213925459638325</v>
      </c>
      <c r="AA10">
        <f>D10/$D$30</f>
        <v>0.75156152558314004</v>
      </c>
      <c r="AB10">
        <f>F10</f>
        <v>0.16512323347790817</v>
      </c>
      <c r="AC10">
        <f>H10/$H$3</f>
        <v>0.89353176749736696</v>
      </c>
      <c r="AD10">
        <f>J10/$J$3</f>
        <v>0.89694480688048228</v>
      </c>
      <c r="AE10">
        <f>L10/$L$3</f>
        <v>0.99891132406407956</v>
      </c>
      <c r="AF10">
        <f>T10/$T$3</f>
        <v>0.894505594212332</v>
      </c>
      <c r="AG10">
        <f>X10/$X$3</f>
        <v>1.1179359933244042</v>
      </c>
    </row>
    <row r="11" spans="1:33" x14ac:dyDescent="0.25">
      <c r="D11">
        <f>(1/Gam*(1/M_1^2-1/F11^2)+(Gam+1)/2/Gam*LN((M_1^2/F11^2)*(1+F11^2*(Gam-1)/2)/(1+M_1^2*(Gam-1)/2)))*D/f</f>
        <v>99.997899750043359</v>
      </c>
      <c r="E11">
        <f>D11/3.28</f>
        <v>30.487164557940051</v>
      </c>
      <c r="F11">
        <f>M_2</f>
        <v>0.16648136922389201</v>
      </c>
      <c r="G11">
        <f>(Gam/Z/Rg)^0.5*F11*(1+F11^2*(Gam-1)/2)^(-(Gam+1)/2/(Gam-1))</f>
        <v>2.6524549860562061E-2</v>
      </c>
      <c r="H11">
        <f>J11/(1+(Gam-1)/2*F11^2)^(Gam/(Gam-1))</f>
        <v>349.12615714998213</v>
      </c>
      <c r="I11" s="21">
        <f>H11*6.89476</f>
        <v>2407.1410632714105</v>
      </c>
      <c r="J11">
        <f>mdot*P11^0.5/A/G11/gc^0.5/144</f>
        <v>355.94669854162419</v>
      </c>
      <c r="K11" s="21">
        <f>J11*6.89476</f>
        <v>2454.1670592368487</v>
      </c>
      <c r="L11">
        <f>P11/(1+(Gam-1)/2*F11^2)</f>
        <v>656.03346919884279</v>
      </c>
      <c r="M11">
        <f>L11/1.8</f>
        <v>364.46303844380157</v>
      </c>
      <c r="N11">
        <f>L11-'Example 6.3 - Pipe P1'!$C$8</f>
        <v>196.36346919884278</v>
      </c>
      <c r="O11">
        <f>M11-'Example 6.3 - Pipe P1'!$C$9</f>
        <v>91.313038443801588</v>
      </c>
      <c r="P11">
        <f>P10</f>
        <v>659.67000000000007</v>
      </c>
      <c r="Q11">
        <f>Q10</f>
        <v>366.48333333333335</v>
      </c>
      <c r="R11">
        <f>P11-'Example 6.3 - Pipe P1'!$C$8</f>
        <v>200.00000000000006</v>
      </c>
      <c r="S11">
        <f>Q11-'Example 6.3 - Pipe P1'!$C$9</f>
        <v>93.333333333333371</v>
      </c>
      <c r="T11">
        <f>H11/L11/Rg/Z*144</f>
        <v>1.4363492076940292</v>
      </c>
      <c r="U11">
        <f>T11*16.01846</f>
        <v>23.008102329478501</v>
      </c>
      <c r="V11">
        <f>(Gam*H11/T11*gc*144)^0.5</f>
        <v>1255.6221464748087</v>
      </c>
      <c r="W11">
        <f>V11/3.28</f>
        <v>382.81163002280755</v>
      </c>
      <c r="X11">
        <f>F11*V11</f>
        <v>209.03769417296843</v>
      </c>
      <c r="Y11">
        <f>X11/3.28</f>
        <v>63.731004321026965</v>
      </c>
      <c r="AA11">
        <f>D11/$D$30</f>
        <v>0.80000010061887838</v>
      </c>
      <c r="AB11">
        <f>F11</f>
        <v>0.16648136922389201</v>
      </c>
      <c r="AC11">
        <f>H11/$H$3</f>
        <v>0.88620274469563631</v>
      </c>
      <c r="AD11">
        <f>J11/$J$3</f>
        <v>0.88986674635406049</v>
      </c>
      <c r="AE11">
        <f>L11/$L$3</f>
        <v>0.99882184531074525</v>
      </c>
      <c r="AF11">
        <f>T11/$T$3</f>
        <v>0.88724806015824387</v>
      </c>
      <c r="AG11">
        <f>X11/$X$3</f>
        <v>1.1270805143509088</v>
      </c>
    </row>
    <row r="12" spans="1:33" x14ac:dyDescent="0.25">
      <c r="A12" s="37">
        <f>2/144</f>
        <v>1.3888888888888888E-2</v>
      </c>
      <c r="B12" s="37"/>
      <c r="C12" s="38" t="s">
        <v>128</v>
      </c>
      <c r="D12" s="37">
        <v>100</v>
      </c>
      <c r="E12" s="37">
        <f>D12/3.28</f>
        <v>30.487804878048781</v>
      </c>
      <c r="F12" s="37">
        <v>1</v>
      </c>
      <c r="G12" s="37">
        <f>(Gam/Z/Rg)^0.5*F12*(1+F12^2*(Gam-1)/2)^(-(Gam+1)/2/(Gam-1))</f>
        <v>9.3743433770267531E-2</v>
      </c>
      <c r="H12" s="37">
        <f>J12/(1+(Gam-1)/2*F12^2)^(Gam/(Gam-1))</f>
        <v>188.04429758557248</v>
      </c>
      <c r="I12" s="39">
        <f>H12*6.89476</f>
        <v>1296.5203012211016</v>
      </c>
      <c r="J12" s="37">
        <f>mdot*P12^0.5/A12/G12/gc^0.5/144</f>
        <v>355.95453403410841</v>
      </c>
      <c r="K12" s="39">
        <f>J12*6.89476</f>
        <v>2454.2210830770091</v>
      </c>
      <c r="L12" s="37">
        <f>P12/(1+(Gam-1)/2*F12^2)</f>
        <v>549.72500000000014</v>
      </c>
      <c r="M12" s="37">
        <f>L12/1.8</f>
        <v>305.40277777777783</v>
      </c>
      <c r="N12" s="37">
        <f>L12-'Example 6.3 - Pipe P1'!$C$8</f>
        <v>90.055000000000121</v>
      </c>
      <c r="O12" s="37">
        <f>M12-'Example 6.3 - Pipe P1'!$C$9</f>
        <v>32.252777777777851</v>
      </c>
      <c r="P12" s="37">
        <f>P11</f>
        <v>659.67000000000007</v>
      </c>
      <c r="Q12" s="37">
        <f>Q11</f>
        <v>366.48333333333335</v>
      </c>
      <c r="R12" s="37">
        <f>P12-'Example 6.3 - Pipe P1'!$C$8</f>
        <v>200.00000000000006</v>
      </c>
      <c r="S12" s="37">
        <f>Q12-'Example 6.3 - Pipe P1'!$C$9</f>
        <v>93.333333333333371</v>
      </c>
      <c r="T12" s="37">
        <f>H12/L12/Rg/Z*144</f>
        <v>0.92324789829420151</v>
      </c>
      <c r="U12" s="37">
        <f>T12*16.01846</f>
        <v>14.789009528909736</v>
      </c>
      <c r="V12" s="37">
        <f>(Gam*H12/T12*gc*144)^0.5</f>
        <v>1149.3934364970639</v>
      </c>
      <c r="W12" s="37">
        <f>V12/3.28</f>
        <v>350.42482820032438</v>
      </c>
      <c r="X12" s="37">
        <f>F12*V12</f>
        <v>1149.3934364970639</v>
      </c>
      <c r="Y12" s="37">
        <f>X12/3.28</f>
        <v>350.42482820032438</v>
      </c>
      <c r="Z12" s="37"/>
      <c r="AA12" s="37">
        <f>D12/$D$30</f>
        <v>0.80001690297353623</v>
      </c>
      <c r="AB12" s="37">
        <f>F12</f>
        <v>1</v>
      </c>
      <c r="AC12" s="37">
        <f>H12/$H$3</f>
        <v>0.47732136143871817</v>
      </c>
      <c r="AD12" s="37">
        <f>J12/$J$3</f>
        <v>0.88988633508527104</v>
      </c>
      <c r="AE12" s="37">
        <f>L12/$L$3</f>
        <v>0.83696543651041233</v>
      </c>
      <c r="AF12" s="37">
        <f>T12/$T$3</f>
        <v>0.5702999677368159</v>
      </c>
      <c r="AG12" s="37">
        <f>X12/$X$3</f>
        <v>6.1972504563064152</v>
      </c>
    </row>
    <row r="13" spans="1:33" x14ac:dyDescent="0.25">
      <c r="C13" s="41" t="s">
        <v>126</v>
      </c>
      <c r="D13" s="35">
        <f>L</f>
        <v>100</v>
      </c>
      <c r="E13" s="35">
        <v>0</v>
      </c>
      <c r="F13" s="35">
        <v>0.39631560770926511</v>
      </c>
      <c r="G13" s="35">
        <v>5.8509677007926857E-2</v>
      </c>
      <c r="H13" s="35">
        <v>144.80618673369261</v>
      </c>
      <c r="I13" s="36">
        <v>998.40390404399443</v>
      </c>
      <c r="J13" s="35">
        <v>161.36209853512761</v>
      </c>
      <c r="K13" s="36">
        <v>1112.5529424960564</v>
      </c>
      <c r="L13" s="35">
        <v>639.57877619575197</v>
      </c>
      <c r="M13" s="35">
        <f>L13/1.8</f>
        <v>355.32154233097333</v>
      </c>
      <c r="N13" s="35">
        <v>179.90877619575195</v>
      </c>
      <c r="O13" s="35">
        <v>82.171542330973352</v>
      </c>
      <c r="P13" s="35">
        <v>659.67000000000007</v>
      </c>
      <c r="Q13" s="35">
        <v>366.48333333333335</v>
      </c>
      <c r="R13" s="35">
        <v>200.00000000000006</v>
      </c>
      <c r="S13" s="35">
        <v>93.333333333333371</v>
      </c>
      <c r="T13" s="35">
        <v>0.61107810204407864</v>
      </c>
      <c r="U13" s="35">
        <v>9.7885301344689921</v>
      </c>
      <c r="V13" s="35">
        <v>1239.7753314015406</v>
      </c>
      <c r="W13" s="35">
        <v>377.98028396388435</v>
      </c>
      <c r="X13" s="35">
        <v>491.34231388735708</v>
      </c>
      <c r="Y13" s="35">
        <v>149.79948594126742</v>
      </c>
      <c r="AA13">
        <f>D13/$D$30</f>
        <v>0.80001690297353623</v>
      </c>
      <c r="AB13">
        <f>F13</f>
        <v>0.39631560770926511</v>
      </c>
      <c r="AC13">
        <f>H13/$H$3</f>
        <v>0.36756810540889545</v>
      </c>
      <c r="AD13">
        <f>J13/$J$3</f>
        <v>0.40340524633781905</v>
      </c>
      <c r="AE13">
        <f>L13/$L$3</f>
        <v>0.97376930210827728</v>
      </c>
      <c r="AF13">
        <f>T13/$T$3</f>
        <v>0.37746939096671589</v>
      </c>
      <c r="AG13">
        <f>X13/$X$3</f>
        <v>2.6491985096252564</v>
      </c>
    </row>
    <row r="14" spans="1:33" x14ac:dyDescent="0.25">
      <c r="C14" s="41" t="s">
        <v>126</v>
      </c>
      <c r="D14" s="35">
        <f>(1/Gam*(1/M_3^2-1/F14^2)+(Gam+1)/2/Gam*LN((M_3^2/F14^2)*(1+F14^2*(Gam-1)/2)/(1+M_3^2*(Gam-1)/2)))*D/f+L</f>
        <v>102.64277940247101</v>
      </c>
      <c r="E14" s="35">
        <f>D14/3.28</f>
        <v>31.293530305631407</v>
      </c>
      <c r="F14" s="35">
        <f>F13+0.01</f>
        <v>0.40631560770926511</v>
      </c>
      <c r="G14" s="35">
        <f>(Gam/Z/Rg)^0.5*F14*(1+F14^2*(Gam-1)/2)^(-(Gam+1)/2/(Gam-1))</f>
        <v>5.9706805406042861E-2</v>
      </c>
      <c r="H14">
        <f>J14/(1+(Gam-1)/2*F14^2)^(Gam/(Gam-1))</f>
        <v>141.13373876246453</v>
      </c>
      <c r="I14" s="21">
        <f>H14*6.89476</f>
        <v>973.08325666988992</v>
      </c>
      <c r="J14">
        <f>mdot*P14^0.5/A/G14/gc^0.5/144</f>
        <v>158.12813780544718</v>
      </c>
      <c r="K14" s="21">
        <f>J14*6.89476</f>
        <v>1090.2555594154849</v>
      </c>
      <c r="L14">
        <f>P14/(1+(Gam-1)/2*F14^2)</f>
        <v>638.58490066862566</v>
      </c>
      <c r="M14">
        <f>L14/1.8</f>
        <v>354.76938926034757</v>
      </c>
      <c r="N14">
        <f>L14-'Example 6.3 - Pipe P1'!$C$8</f>
        <v>178.91490066862565</v>
      </c>
      <c r="O14">
        <f>M14-'Example 6.3 - Pipe P1'!$C$9</f>
        <v>81.619389260347589</v>
      </c>
      <c r="P14">
        <f>P13</f>
        <v>659.67000000000007</v>
      </c>
      <c r="Q14">
        <f>Q13</f>
        <v>366.48333333333335</v>
      </c>
      <c r="R14">
        <f>P14-'Example 6.3 - Pipe P1'!$C$8</f>
        <v>200.00000000000006</v>
      </c>
      <c r="S14">
        <f>Q14-'Example 6.3 - Pipe P1'!$C$9</f>
        <v>93.333333333333371</v>
      </c>
      <c r="T14">
        <f>H14/L14/Rg/Z*144</f>
        <v>0.59650741785068284</v>
      </c>
      <c r="U14">
        <f>T14*16.01846</f>
        <v>9.5551302125444497</v>
      </c>
      <c r="V14">
        <f>(Gam*H14/T14*gc*144)^0.5</f>
        <v>1238.8116804271533</v>
      </c>
      <c r="W14">
        <f>V14/3.28</f>
        <v>377.68648793510772</v>
      </c>
      <c r="X14">
        <f>F14*V14</f>
        <v>503.34852077009469</v>
      </c>
      <c r="Y14">
        <f>X14/3.28</f>
        <v>153.45991486893132</v>
      </c>
      <c r="AA14">
        <f>D14/$D$30</f>
        <v>0.82115958490160723</v>
      </c>
      <c r="AB14">
        <f>F14</f>
        <v>0.40631560770926511</v>
      </c>
      <c r="AC14">
        <f>H14/$H$3</f>
        <v>0.35824616431338446</v>
      </c>
      <c r="AD14">
        <f>J14/$J$3</f>
        <v>0.39532034451361797</v>
      </c>
      <c r="AE14">
        <f>L14/$L$3</f>
        <v>0.97225611012246926</v>
      </c>
      <c r="AF14">
        <f>T14/$T$3</f>
        <v>0.3684689256087661</v>
      </c>
      <c r="AG14">
        <f>X14/$X$3</f>
        <v>2.7139330632775862</v>
      </c>
    </row>
    <row r="15" spans="1:33" x14ac:dyDescent="0.25">
      <c r="C15" s="41" t="s">
        <v>126</v>
      </c>
      <c r="D15" s="35">
        <f>(1/Gam*(1/M_3^2-1/F15^2)+(Gam+1)/2/Gam*LN((M_3^2/F15^2)*(1+F15^2*(Gam-1)/2)/(1+M_3^2*(Gam-1)/2)))*D/f+L</f>
        <v>105.06981838706733</v>
      </c>
      <c r="E15" s="35">
        <f>D15/3.28</f>
        <v>32.03348121556931</v>
      </c>
      <c r="F15" s="35">
        <f>F14+0.01</f>
        <v>0.41631560770926512</v>
      </c>
      <c r="G15" s="35">
        <f>(Gam/Z/Rg)^0.5*F15*(1+F15^2*(Gam-1)/2)^(-(Gam+1)/2/(Gam-1))</f>
        <v>6.0884900970333271E-2</v>
      </c>
      <c r="H15">
        <f>J15/(1+(Gam-1)/2*F15^2)^(Gam/(Gam-1))</f>
        <v>137.63411317898232</v>
      </c>
      <c r="I15" s="21">
        <f>H15*6.89476</f>
        <v>948.95417818192004</v>
      </c>
      <c r="J15">
        <f>mdot*P15^0.5/A/G15/gc^0.5/144</f>
        <v>155.06842916226697</v>
      </c>
      <c r="K15" s="21">
        <f>J15*6.89476</f>
        <v>1069.1596026508319</v>
      </c>
      <c r="L15">
        <f>P15/(1+(Gam-1)/2*F15^2)</f>
        <v>637.56945989462986</v>
      </c>
      <c r="M15">
        <f>L15/1.8</f>
        <v>354.20525549701659</v>
      </c>
      <c r="N15">
        <f>L15-'Example 6.3 - Pipe P1'!$C$8</f>
        <v>177.89945989462984</v>
      </c>
      <c r="O15">
        <f>M15-'Example 6.3 - Pipe P1'!$C$9</f>
        <v>81.055255497016617</v>
      </c>
      <c r="P15">
        <f>P14</f>
        <v>659.67000000000007</v>
      </c>
      <c r="Q15">
        <f>Q14</f>
        <v>366.48333333333335</v>
      </c>
      <c r="R15">
        <f>P15-'Example 6.3 - Pipe P1'!$C$8</f>
        <v>200.00000000000006</v>
      </c>
      <c r="S15">
        <f>Q15-'Example 6.3 - Pipe P1'!$C$9</f>
        <v>93.333333333333371</v>
      </c>
      <c r="T15">
        <f>H15/L15/Rg/Z*144</f>
        <v>0.58264259425572551</v>
      </c>
      <c r="U15">
        <f>T15*16.01846</f>
        <v>9.3330370903815698</v>
      </c>
      <c r="V15">
        <f>(Gam*H15/T15*gc*144)^0.5</f>
        <v>1237.8263452241943</v>
      </c>
      <c r="W15">
        <f>V15/3.28</f>
        <v>377.38608086103488</v>
      </c>
      <c r="X15">
        <f>F15*V15</f>
        <v>515.32642715054908</v>
      </c>
      <c r="Y15">
        <f>X15/3.28</f>
        <v>157.11171559467959</v>
      </c>
      <c r="AA15">
        <f>D15/$D$30</f>
        <v>0.84057630702013508</v>
      </c>
      <c r="AB15">
        <f>F15</f>
        <v>0.41631560770926512</v>
      </c>
      <c r="AC15">
        <f>H15/$H$3</f>
        <v>0.34936290611581355</v>
      </c>
      <c r="AD15">
        <f>J15/$J$3</f>
        <v>0.38767107290566744</v>
      </c>
      <c r="AE15">
        <f>L15/$L$3</f>
        <v>0.97071008469037523</v>
      </c>
      <c r="AF15">
        <f>T15/$T$3</f>
        <v>0.35990447778983248</v>
      </c>
      <c r="AG15">
        <f>X15/$X$3</f>
        <v>2.7785150274900259</v>
      </c>
    </row>
    <row r="16" spans="1:33" x14ac:dyDescent="0.25">
      <c r="C16" s="41" t="s">
        <v>126</v>
      </c>
      <c r="D16" s="35">
        <f>(1/Gam*(1/M_3^2-1/F16^2)+(Gam+1)/2/Gam*LN((M_3^2/F16^2)*(1+F16^2*(Gam-1)/2)/(1+M_3^2*(Gam-1)/2)))*D/f+L</f>
        <v>107.30185109464701</v>
      </c>
      <c r="E16" s="35">
        <f>D16/3.28</f>
        <v>32.713978992270434</v>
      </c>
      <c r="F16" s="35">
        <f>F15+0.01</f>
        <v>0.42631560770926513</v>
      </c>
      <c r="G16" s="35">
        <f>(Gam/Z/Rg)^0.5*F16*(1+F16^2*(Gam-1)/2)^(-(Gam+1)/2/(Gam-1))</f>
        <v>6.2043705962821862E-2</v>
      </c>
      <c r="H16">
        <f>J16/(1+(Gam-1)/2*F16^2)^(Gam/(Gam-1))</f>
        <v>134.29633072518834</v>
      </c>
      <c r="I16" s="21">
        <f>H16*6.89476</f>
        <v>925.94096923079951</v>
      </c>
      <c r="J16">
        <f>mdot*P16^0.5/A/G16/gc^0.5/144</f>
        <v>152.17217937992359</v>
      </c>
      <c r="K16" s="21">
        <f>J16*6.89476</f>
        <v>1049.1906555015219</v>
      </c>
      <c r="L16">
        <f>P16/(1+(Gam-1)/2*F16^2)</f>
        <v>636.53267416091137</v>
      </c>
      <c r="M16">
        <f>L16/1.8</f>
        <v>353.62926342272851</v>
      </c>
      <c r="N16">
        <f>L16-'Example 6.3 - Pipe P1'!$C$8</f>
        <v>176.86267416091135</v>
      </c>
      <c r="O16">
        <f>M16-'Example 6.3 - Pipe P1'!$C$9</f>
        <v>80.479263422728536</v>
      </c>
      <c r="P16">
        <f>P15</f>
        <v>659.67000000000007</v>
      </c>
      <c r="Q16">
        <f>Q15</f>
        <v>366.48333333333335</v>
      </c>
      <c r="R16">
        <f>P16-'Example 6.3 - Pipe P1'!$C$8</f>
        <v>200.00000000000006</v>
      </c>
      <c r="S16">
        <f>Q16-'Example 6.3 - Pipe P1'!$C$9</f>
        <v>93.333333333333371</v>
      </c>
      <c r="T16">
        <f>H16/L16/Rg/Z*144</f>
        <v>0.56943884921301091</v>
      </c>
      <c r="U16">
        <f>T16*16.01846</f>
        <v>9.1215334285646481</v>
      </c>
      <c r="V16">
        <f>(Gam*H16/T16*gc*144)^0.5</f>
        <v>1236.8194879825237</v>
      </c>
      <c r="W16">
        <f>V16/3.28</f>
        <v>377.07911218979382</v>
      </c>
      <c r="X16">
        <f>F16*V16</f>
        <v>527.27545164593175</v>
      </c>
      <c r="Y16">
        <f>X16/3.28</f>
        <v>160.75471086766214</v>
      </c>
      <c r="AA16">
        <f>D16/$D$30</f>
        <v>0.85843294596067043</v>
      </c>
      <c r="AB16">
        <f>F16</f>
        <v>0.42631560770926513</v>
      </c>
      <c r="AC16">
        <f>H16/$H$3</f>
        <v>0.34089046166795045</v>
      </c>
      <c r="AD16">
        <f>J16/$J$3</f>
        <v>0.380430448449809</v>
      </c>
      <c r="AE16">
        <f>L16/$L$3</f>
        <v>0.9691315612028325</v>
      </c>
      <c r="AF16">
        <f>T16/$T$3</f>
        <v>0.35174838516749568</v>
      </c>
      <c r="AG16">
        <f>X16/$X$3</f>
        <v>2.8429412675876793</v>
      </c>
    </row>
    <row r="17" spans="3:33" x14ac:dyDescent="0.25">
      <c r="C17" s="41" t="s">
        <v>126</v>
      </c>
      <c r="D17" s="35">
        <f>(1/Gam*(1/M_3^2-1/F17^2)+(Gam+1)/2/Gam*LN((M_3^2/F17^2)*(1+F17^2*(Gam-1)/2)/(1+M_3^2*(Gam-1)/2)))*D/f+L</f>
        <v>109.35723119208372</v>
      </c>
      <c r="E17" s="35">
        <f>D17/3.28</f>
        <v>33.340619265879184</v>
      </c>
      <c r="F17" s="35">
        <f>F16+0.01</f>
        <v>0.43631560770926514</v>
      </c>
      <c r="G17" s="35">
        <f>(Gam/Z/Rg)^0.5*F17*(1+F17^2*(Gam-1)/2)^(-(Gam+1)/2/(Gam-1))</f>
        <v>6.318297551150083E-2</v>
      </c>
      <c r="H17">
        <f>J17/(1+(Gam-1)/2*F17^2)^(Gam/(Gam-1))</f>
        <v>131.10928096782277</v>
      </c>
      <c r="I17" s="21">
        <f>H17*6.89476</f>
        <v>903.96702604570567</v>
      </c>
      <c r="J17">
        <f>mdot*P17^0.5/A/G17/gc^0.5/144</f>
        <v>149.42832110607412</v>
      </c>
      <c r="K17" s="21">
        <f>J17*6.89476</f>
        <v>1030.2724112293156</v>
      </c>
      <c r="L17">
        <f>P17/(1+(Gam-1)/2*F17^2)</f>
        <v>635.47476727598996</v>
      </c>
      <c r="M17">
        <f>L17/1.8</f>
        <v>353.04153737554998</v>
      </c>
      <c r="N17">
        <f>L17-'Example 6.3 - Pipe P1'!$C$8</f>
        <v>175.80476727598995</v>
      </c>
      <c r="O17">
        <f>M17-'Example 6.3 - Pipe P1'!$C$9</f>
        <v>79.891537375550001</v>
      </c>
      <c r="P17">
        <f>P16</f>
        <v>659.67000000000007</v>
      </c>
      <c r="Q17">
        <f>Q16</f>
        <v>366.48333333333335</v>
      </c>
      <c r="R17">
        <f>P17-'Example 6.3 - Pipe P1'!$C$8</f>
        <v>200.00000000000006</v>
      </c>
      <c r="S17">
        <f>Q17-'Example 6.3 - Pipe P1'!$C$9</f>
        <v>93.333333333333371</v>
      </c>
      <c r="T17">
        <f>H17/L17/Rg/Z*144</f>
        <v>0.55685070324572095</v>
      </c>
      <c r="U17">
        <f>T17*16.01846</f>
        <v>8.9198907159134517</v>
      </c>
      <c r="V17">
        <f>(Gam*H17/T17*gc*144)^0.5</f>
        <v>1235.7912737144102</v>
      </c>
      <c r="W17">
        <f>V17/3.28</f>
        <v>376.76563223000312</v>
      </c>
      <c r="X17">
        <f>F17*V17</f>
        <v>539.19502059250965</v>
      </c>
      <c r="Y17">
        <f>X17/3.28</f>
        <v>164.38872579039929</v>
      </c>
      <c r="AA17">
        <f>D17/$D$30</f>
        <v>0.87487633416051802</v>
      </c>
      <c r="AB17">
        <f>F17</f>
        <v>0.43631560770926514</v>
      </c>
      <c r="AC17">
        <f>H17/$H$3</f>
        <v>0.33280062885360301</v>
      </c>
      <c r="AD17">
        <f>J17/$J$3</f>
        <v>0.37357080276518528</v>
      </c>
      <c r="AE17">
        <f>L17/$L$3</f>
        <v>0.96752088041202688</v>
      </c>
      <c r="AF17">
        <f>T17/$T$3</f>
        <v>0.34397255458908244</v>
      </c>
      <c r="AG17">
        <f>X17/$X$3</f>
        <v>2.9072086905149237</v>
      </c>
    </row>
    <row r="18" spans="3:33" x14ac:dyDescent="0.25">
      <c r="C18" s="41" t="s">
        <v>126</v>
      </c>
      <c r="D18" s="35">
        <f>(1/Gam*(1/M_3^2-1/F18^2)+(Gam+1)/2/Gam*LN((M_3^2/F18^2)*(1+F18^2*(Gam-1)/2)/(1+M_3^2*(Gam-1)/2)))*D/f+L</f>
        <v>111.2522503729552</v>
      </c>
      <c r="E18" s="35">
        <f>D18/3.28</f>
        <v>33.918369016144879</v>
      </c>
      <c r="F18" s="35">
        <f>F17+0.01</f>
        <v>0.44631560770926515</v>
      </c>
      <c r="G18" s="35">
        <f>(Gam/Z/Rg)^0.5*F18*(1+F18^2*(Gam-1)/2)^(-(Gam+1)/2/(Gam-1))</f>
        <v>6.4302477652685361E-2</v>
      </c>
      <c r="H18">
        <f>J18/(1+(Gam-1)/2*F18^2)^(Gam/(Gam-1))</f>
        <v>128.06284950573334</v>
      </c>
      <c r="I18" s="21">
        <f>H18*6.89476</f>
        <v>882.96261225814999</v>
      </c>
      <c r="J18">
        <f>mdot*P18^0.5/A/G18/gc^0.5/144</f>
        <v>146.8267833187526</v>
      </c>
      <c r="K18" s="21">
        <f>J18*6.89476</f>
        <v>1012.3354325548027</v>
      </c>
      <c r="L18">
        <f>P18/(1+(Gam-1)/2*F18^2)</f>
        <v>634.39596645513018</v>
      </c>
      <c r="M18">
        <f>L18/1.8</f>
        <v>352.44220358618344</v>
      </c>
      <c r="N18">
        <f>L18-'Example 6.3 - Pipe P1'!$C$8</f>
        <v>174.72596645513016</v>
      </c>
      <c r="O18">
        <f>M18-'Example 6.3 - Pipe P1'!$C$9</f>
        <v>79.292203586183462</v>
      </c>
      <c r="P18">
        <f>P17</f>
        <v>659.67000000000007</v>
      </c>
      <c r="Q18">
        <f>Q17</f>
        <v>366.48333333333335</v>
      </c>
      <c r="R18">
        <f>P18-'Example 6.3 - Pipe P1'!$C$8</f>
        <v>200.00000000000006</v>
      </c>
      <c r="S18">
        <f>Q18-'Example 6.3 - Pipe P1'!$C$9</f>
        <v>93.333333333333371</v>
      </c>
      <c r="T18">
        <f>H18/L18/Rg/Z*144</f>
        <v>0.5448367523859895</v>
      </c>
      <c r="U18">
        <f>T18*16.01846</f>
        <v>8.7274457246248787</v>
      </c>
      <c r="V18">
        <f>(Gam*H18/T18*gc*144)^0.5</f>
        <v>1234.7418701831366</v>
      </c>
      <c r="W18">
        <f>V18/3.28</f>
        <v>376.44569212900507</v>
      </c>
      <c r="X18">
        <f>F18*V18</f>
        <v>551.08456815486124</v>
      </c>
      <c r="Y18">
        <f>X18/3.28</f>
        <v>168.01358785209186</v>
      </c>
      <c r="AA18">
        <f>D18/$D$30</f>
        <v>0.89003680792208062</v>
      </c>
      <c r="AB18">
        <f>F18</f>
        <v>0.44631560770926515</v>
      </c>
      <c r="AC18">
        <f>H18/$H$3</f>
        <v>0.32506773383001131</v>
      </c>
      <c r="AD18">
        <f>J18/$J$3</f>
        <v>0.36706695829688152</v>
      </c>
      <c r="AE18">
        <f>L18/$L$3</f>
        <v>0.96587838825696992</v>
      </c>
      <c r="AF18">
        <f>T18/$T$3</f>
        <v>0.33655141038679887</v>
      </c>
      <c r="AG18">
        <f>X18/$X$3</f>
        <v>2.9713142454244923</v>
      </c>
    </row>
    <row r="19" spans="3:33" x14ac:dyDescent="0.25">
      <c r="C19" s="41" t="s">
        <v>126</v>
      </c>
      <c r="D19" s="35">
        <f>(1/Gam*(1/M_3^2-1/F19^2)+(Gam+1)/2/Gam*LN((M_3^2/F19^2)*(1+F19^2*(Gam-1)/2)/(1+M_3^2*(Gam-1)/2)))*D/f+L</f>
        <v>113.00140835854987</v>
      </c>
      <c r="E19" s="35">
        <f>D19/3.28</f>
        <v>34.451648889801788</v>
      </c>
      <c r="F19" s="35">
        <f>F18+0.01</f>
        <v>0.45631560770926516</v>
      </c>
      <c r="G19" s="35">
        <f>(Gam/Z/Rg)^0.5*F19*(1+F19^2*(Gam-1)/2)^(-(Gam+1)/2/(Gam-1))</f>
        <v>6.5401993359453139E-2</v>
      </c>
      <c r="H19">
        <f>J19/(1+(Gam-1)/2*F19^2)^(Gam/(Gam-1))</f>
        <v>125.14780882405411</v>
      </c>
      <c r="I19" s="21">
        <f>H19*6.89476</f>
        <v>862.8641063677353</v>
      </c>
      <c r="J19">
        <f>mdot*P19^0.5/A/G19/gc^0.5/144</f>
        <v>144.35838218691117</v>
      </c>
      <c r="K19" s="21">
        <f>J19*6.89476</f>
        <v>995.31639916702761</v>
      </c>
      <c r="L19">
        <f>P19/(1+(Gam-1)/2*F19^2)</f>
        <v>633.29650220487486</v>
      </c>
      <c r="M19">
        <f>L19/1.8</f>
        <v>351.83139011381934</v>
      </c>
      <c r="N19">
        <f>L19-'Example 6.3 - Pipe P1'!$C$8</f>
        <v>173.62650220487484</v>
      </c>
      <c r="O19">
        <f>M19-'Example 6.3 - Pipe P1'!$C$9</f>
        <v>78.681390113819361</v>
      </c>
      <c r="P19">
        <f>P18</f>
        <v>659.67000000000007</v>
      </c>
      <c r="Q19">
        <f>Q18</f>
        <v>366.48333333333335</v>
      </c>
      <c r="R19">
        <f>P19-'Example 6.3 - Pipe P1'!$C$8</f>
        <v>200.00000000000006</v>
      </c>
      <c r="S19">
        <f>Q19-'Example 6.3 - Pipe P1'!$C$9</f>
        <v>93.333333333333371</v>
      </c>
      <c r="T19">
        <f>H19/L19/Rg/Z*144</f>
        <v>0.53335922161454341</v>
      </c>
      <c r="U19">
        <f>T19*16.01846</f>
        <v>8.543593357063699</v>
      </c>
      <c r="V19">
        <f>(Gam*H19/T19*gc*144)^0.5</f>
        <v>1233.6714478309257</v>
      </c>
      <c r="W19">
        <f>V19/3.28</f>
        <v>376.11934385089199</v>
      </c>
      <c r="X19">
        <f>F19*V19</f>
        <v>562.94353643053785</v>
      </c>
      <c r="Y19">
        <f>X19/3.28</f>
        <v>171.62912696052985</v>
      </c>
      <c r="AA19">
        <f>D19/$D$30</f>
        <v>0.9040303674665493</v>
      </c>
      <c r="AB19">
        <f>F19</f>
        <v>0.45631560770926516</v>
      </c>
      <c r="AC19">
        <f>H19/$H$3</f>
        <v>0.31766835397806342</v>
      </c>
      <c r="AD19">
        <f>J19/$J$3</f>
        <v>0.36089595546727793</v>
      </c>
      <c r="AE19">
        <f>L19/$L$3</f>
        <v>0.96420443568769887</v>
      </c>
      <c r="AF19">
        <f>T19/$T$3</f>
        <v>0.32946161853268496</v>
      </c>
      <c r="AG19">
        <f>X19/$X$3</f>
        <v>3.0352549242417823</v>
      </c>
    </row>
    <row r="20" spans="3:33" x14ac:dyDescent="0.25">
      <c r="C20" s="41" t="s">
        <v>126</v>
      </c>
      <c r="D20" s="35">
        <f>(1/Gam*(1/M_3^2-1/F20^2)+(Gam+1)/2/Gam*LN((M_3^2/F20^2)*(1+F20^2*(Gam-1)/2)/(1+M_3^2*(Gam-1)/2)))*D/f+L</f>
        <v>114.61764264842945</v>
      </c>
      <c r="E20" s="35">
        <f>D20/3.28</f>
        <v>34.944403246472397</v>
      </c>
      <c r="F20" s="35">
        <f>F19+0.01</f>
        <v>0.46631560770926517</v>
      </c>
      <c r="G20" s="35">
        <f>(Gam/Z/Rg)^0.5*F20*(1+F20^2*(Gam-1)/2)^(-(Gam+1)/2/(Gam-1))</f>
        <v>6.6481316556338807E-2</v>
      </c>
      <c r="H20">
        <f>J20/(1+(Gam-1)/2*F20^2)^(Gam/(Gam-1))</f>
        <v>122.3557231919219</v>
      </c>
      <c r="I20" s="21">
        <f>H20*6.89476</f>
        <v>843.6133460347354</v>
      </c>
      <c r="J20">
        <f>mdot*P20^0.5/A/G20/gc^0.5/144</f>
        <v>142.01472597445968</v>
      </c>
      <c r="K20" s="21">
        <f>J20*6.89476</f>
        <v>979.15745205966562</v>
      </c>
      <c r="L20">
        <f>P20/(1+(Gam-1)/2*F20^2)</f>
        <v>632.17660820684716</v>
      </c>
      <c r="M20">
        <f>L20/1.8</f>
        <v>351.20922678158178</v>
      </c>
      <c r="N20">
        <f>L20-'Example 6.3 - Pipe P1'!$C$8</f>
        <v>172.50660820684715</v>
      </c>
      <c r="O20">
        <f>M20-'Example 6.3 - Pipe P1'!$C$9</f>
        <v>78.059226781581799</v>
      </c>
      <c r="P20">
        <f>P19</f>
        <v>659.67000000000007</v>
      </c>
      <c r="Q20">
        <f>Q19</f>
        <v>366.48333333333335</v>
      </c>
      <c r="R20">
        <f>P20-'Example 6.3 - Pipe P1'!$C$8</f>
        <v>200.00000000000006</v>
      </c>
      <c r="S20">
        <f>Q20-'Example 6.3 - Pipe P1'!$C$9</f>
        <v>93.333333333333371</v>
      </c>
      <c r="T20">
        <f>H20/L20/Rg/Z*144</f>
        <v>0.52238357575855243</v>
      </c>
      <c r="U20">
        <f>T20*16.01846</f>
        <v>8.3677804129453417</v>
      </c>
      <c r="V20">
        <f>(Gam*H20/T20*gc*144)^0.5</f>
        <v>1232.5801797062461</v>
      </c>
      <c r="W20">
        <f>V20/3.28</f>
        <v>375.78664015434333</v>
      </c>
      <c r="X20">
        <f>F20*V20</f>
        <v>574.77137555011348</v>
      </c>
      <c r="Y20">
        <f>X20/3.28</f>
        <v>175.23517547259559</v>
      </c>
      <c r="AA20">
        <f>D20/$D$30</f>
        <v>0.91696051497724029</v>
      </c>
      <c r="AB20">
        <f>F20</f>
        <v>0.46631560770926517</v>
      </c>
      <c r="AC20">
        <f>H20/$H$3</f>
        <v>0.31058107649985989</v>
      </c>
      <c r="AD20">
        <f>J20/$J$3</f>
        <v>0.35503681493614919</v>
      </c>
      <c r="AE20">
        <f>L20/$L$3</f>
        <v>0.96249937848836342</v>
      </c>
      <c r="AF20">
        <f>T20/$T$3</f>
        <v>0.32268184628611141</v>
      </c>
      <c r="AG20">
        <f>X20/$X$3</f>
        <v>3.0990277622043005</v>
      </c>
    </row>
    <row r="21" spans="3:33" x14ac:dyDescent="0.25">
      <c r="C21" s="41" t="s">
        <v>126</v>
      </c>
      <c r="D21" s="35">
        <f>(1/Gam*(1/M_3^2-1/F21^2)+(Gam+1)/2/Gam*LN((M_3^2/F21^2)*(1+F21^2*(Gam-1)/2)/(1+M_3^2*(Gam-1)/2)))*D/f+L</f>
        <v>116.11252472536685</v>
      </c>
      <c r="E21" s="35">
        <f>D21/3.28</f>
        <v>35.400159977245991</v>
      </c>
      <c r="F21" s="35">
        <f>F20+0.01</f>
        <v>0.47631560770926518</v>
      </c>
      <c r="G21" s="35">
        <f>(Gam/Z/Rg)^0.5*F21*(1+F21^2*(Gam-1)/2)^(-(Gam+1)/2/(Gam-1))</f>
        <v>6.7540254120470988E-2</v>
      </c>
      <c r="H21">
        <f>J21/(1+(Gam-1)/2*F21^2)^(Gam/(Gam-1))</f>
        <v>119.67886553987682</v>
      </c>
      <c r="I21" s="21">
        <f>H21*6.89476</f>
        <v>825.15705496972112</v>
      </c>
      <c r="J21">
        <f>mdot*P21^0.5/A/G21/gc^0.5/144</f>
        <v>139.78813192395381</v>
      </c>
      <c r="K21" s="21">
        <f>J21*6.89476</f>
        <v>963.80562046399973</v>
      </c>
      <c r="L21">
        <f>P21/(1+(Gam-1)/2*F21^2)</f>
        <v>631.03652120091954</v>
      </c>
      <c r="M21">
        <f>L21/1.8</f>
        <v>350.57584511162196</v>
      </c>
      <c r="N21">
        <f>L21-'Example 6.3 - Pipe P1'!$C$8</f>
        <v>171.36652120091952</v>
      </c>
      <c r="O21">
        <f>M21-'Example 6.3 - Pipe P1'!$C$9</f>
        <v>77.425845111621982</v>
      </c>
      <c r="P21">
        <f>P20</f>
        <v>659.67000000000007</v>
      </c>
      <c r="Q21">
        <f>Q20</f>
        <v>366.48333333333335</v>
      </c>
      <c r="R21">
        <f>P21-'Example 6.3 - Pipe P1'!$C$8</f>
        <v>200.00000000000006</v>
      </c>
      <c r="S21">
        <f>Q21-'Example 6.3 - Pipe P1'!$C$9</f>
        <v>93.333333333333371</v>
      </c>
      <c r="T21">
        <f>H21/L21/Rg/Z*144</f>
        <v>0.51187817940354607</v>
      </c>
      <c r="U21">
        <f>T21*16.01846</f>
        <v>8.199500141648528</v>
      </c>
      <c r="V21">
        <f>(Gam*H21/T21*gc*144)^0.5</f>
        <v>1231.4682413905571</v>
      </c>
      <c r="W21">
        <f>V21/3.28</f>
        <v>375.44763457029183</v>
      </c>
      <c r="X21">
        <f>F21*V21</f>
        <v>586.56754377260324</v>
      </c>
      <c r="Y21">
        <f>X21/3.28</f>
        <v>178.83156822335465</v>
      </c>
      <c r="AA21">
        <f>D21/$D$30</f>
        <v>0.92891982427226139</v>
      </c>
      <c r="AB21">
        <f>F21</f>
        <v>0.47631560770926518</v>
      </c>
      <c r="AC21">
        <f>H21/$H$3</f>
        <v>0.30378628742485292</v>
      </c>
      <c r="AD21">
        <f>J21/$J$3</f>
        <v>0.34947032980988452</v>
      </c>
      <c r="AE21">
        <f>L21/$L$3</f>
        <v>0.96076357709934879</v>
      </c>
      <c r="AF21">
        <f>T21/$T$3</f>
        <v>0.31619255211778241</v>
      </c>
      <c r="AG21">
        <f>X21/$X$3</f>
        <v>3.1626298383761342</v>
      </c>
    </row>
    <row r="22" spans="3:33" x14ac:dyDescent="0.25">
      <c r="C22" s="41" t="s">
        <v>126</v>
      </c>
      <c r="D22" s="35">
        <f>(1/Gam*(1/M_3^2-1/F22^2)+(Gam+1)/2/Gam*LN((M_3^2/F22^2)*(1+F22^2*(Gam-1)/2)/(1+M_3^2*(Gam-1)/2)))*D/f+L</f>
        <v>117.49642818963252</v>
      </c>
      <c r="E22" s="35">
        <f>D22/3.28</f>
        <v>35.82208176513187</v>
      </c>
      <c r="F22" s="35">
        <f>F21+0.01</f>
        <v>0.48631560770926519</v>
      </c>
      <c r="G22" s="35">
        <f>(Gam/Z/Rg)^0.5*F22*(1+F22^2*(Gam-1)/2)^(-(Gam+1)/2/(Gam-1))</f>
        <v>6.8578625869360796E-2</v>
      </c>
      <c r="H22">
        <f>J22/(1+(Gam-1)/2*F22^2)^(Gam/(Gam-1))</f>
        <v>117.110144592605</v>
      </c>
      <c r="I22" s="21">
        <f>H22*6.89476</f>
        <v>807.44634053130915</v>
      </c>
      <c r="J22">
        <f>mdot*P22^0.5/A/G22/gc^0.5/144</f>
        <v>137.67155339558812</v>
      </c>
      <c r="K22" s="21">
        <f>J22*6.89476</f>
        <v>949.21231948976515</v>
      </c>
      <c r="L22">
        <f>P22/(1+(Gam-1)/2*F22^2)</f>
        <v>629.87648086785248</v>
      </c>
      <c r="M22">
        <f>L22/1.8</f>
        <v>349.93137825991806</v>
      </c>
      <c r="N22">
        <f>L22-'Example 6.3 - Pipe P1'!$C$8</f>
        <v>170.20648086785246</v>
      </c>
      <c r="O22">
        <f>M22-'Example 6.3 - Pipe P1'!$C$9</f>
        <v>76.781378259918085</v>
      </c>
      <c r="P22">
        <f>P21</f>
        <v>659.67000000000007</v>
      </c>
      <c r="Q22">
        <f>Q21</f>
        <v>366.48333333333335</v>
      </c>
      <c r="R22">
        <f>P22-'Example 6.3 - Pipe P1'!$C$8</f>
        <v>200.00000000000006</v>
      </c>
      <c r="S22">
        <f>Q22-'Example 6.3 - Pipe P1'!$C$9</f>
        <v>93.333333333333371</v>
      </c>
      <c r="T22">
        <f>H22/L22/Rg/Z*144</f>
        <v>0.50181399876434263</v>
      </c>
      <c r="U22">
        <f>T22*16.01846</f>
        <v>8.0382874666466719</v>
      </c>
      <c r="V22">
        <f>(Gam*H22/T22*gc*144)^0.5</f>
        <v>1230.3358109245398</v>
      </c>
      <c r="W22">
        <f>V22/3.28</f>
        <v>375.10238137943287</v>
      </c>
      <c r="X22">
        <f>F22*V22</f>
        <v>598.33150757623912</v>
      </c>
      <c r="Y22">
        <f>X22/3.28</f>
        <v>182.41814255373146</v>
      </c>
      <c r="AA22">
        <f>D22/$D$30</f>
        <v>0.93999128590722303</v>
      </c>
      <c r="AB22">
        <f>F22</f>
        <v>0.48631560770926519</v>
      </c>
      <c r="AC22">
        <f>H22/$H$3</f>
        <v>0.29726598664758536</v>
      </c>
      <c r="AD22">
        <f>J22/$J$3</f>
        <v>0.3441788834889703</v>
      </c>
      <c r="AE22">
        <f>L22/$L$3</f>
        <v>0.95899739643859094</v>
      </c>
      <c r="AF22">
        <f>T22/$T$3</f>
        <v>0.30997580155226284</v>
      </c>
      <c r="AG22">
        <f>X22/$X$3</f>
        <v>3.2260582761373939</v>
      </c>
    </row>
    <row r="23" spans="3:33" x14ac:dyDescent="0.25">
      <c r="C23" s="41" t="s">
        <v>126</v>
      </c>
      <c r="D23" s="35">
        <f>(1/Gam*(1/M_3^2-1/F23^2)+(Gam+1)/2/Gam*LN((M_3^2/F23^2)*(1+F23^2*(Gam-1)/2)/(1+M_3^2*(Gam-1)/2)))*D/f+L</f>
        <v>118.77867331328062</v>
      </c>
      <c r="E23" s="35">
        <f>D23/3.28</f>
        <v>36.213010156487996</v>
      </c>
      <c r="F23" s="35">
        <f>F22+0.01</f>
        <v>0.49631560770926519</v>
      </c>
      <c r="G23" s="35">
        <f>(Gam/Z/Rg)^0.5*F23*(1+F23^2*(Gam-1)/2)^(-(Gam+1)/2/(Gam-1))</f>
        <v>6.9596264535569316E-2</v>
      </c>
      <c r="H23">
        <f>J23/(1+(Gam-1)/2*F23^2)^(Gam/(Gam-1))</f>
        <v>114.64304081062046</v>
      </c>
      <c r="I23" s="21">
        <f>H23*6.89476</f>
        <v>790.43625205943351</v>
      </c>
      <c r="J23">
        <f>mdot*P23^0.5/A/G23/gc^0.5/144</f>
        <v>135.65851581509068</v>
      </c>
      <c r="K23" s="21">
        <f>J23*6.89476</f>
        <v>935.33290850125456</v>
      </c>
      <c r="L23">
        <f>P23/(1+(Gam-1)/2*F23^2)</f>
        <v>628.69672971150396</v>
      </c>
      <c r="M23">
        <f>L23/1.8</f>
        <v>349.27596095083555</v>
      </c>
      <c r="N23">
        <f>L23-'Example 6.3 - Pipe P1'!$C$8</f>
        <v>169.02672971150395</v>
      </c>
      <c r="O23">
        <f>M23-'Example 6.3 - Pipe P1'!$C$9</f>
        <v>76.125960950835577</v>
      </c>
      <c r="P23">
        <f>P22</f>
        <v>659.67000000000007</v>
      </c>
      <c r="Q23">
        <f>Q22</f>
        <v>366.48333333333335</v>
      </c>
      <c r="R23">
        <f>P23-'Example 6.3 - Pipe P1'!$C$8</f>
        <v>200.00000000000006</v>
      </c>
      <c r="S23">
        <f>Q23-'Example 6.3 - Pipe P1'!$C$9</f>
        <v>93.333333333333371</v>
      </c>
      <c r="T23">
        <f>H23/L23/Rg/Z*144</f>
        <v>0.49216433959710687</v>
      </c>
      <c r="U23">
        <f>T23*16.01846</f>
        <v>7.8837147872626732</v>
      </c>
      <c r="V23">
        <f>(Gam*H23/T23*gc*144)^0.5</f>
        <v>1229.1830687338845</v>
      </c>
      <c r="W23">
        <f>V23/3.28</f>
        <v>374.75093558959895</v>
      </c>
      <c r="X23">
        <f>F23*V23</f>
        <v>610.06274174459736</v>
      </c>
      <c r="Y23">
        <f>X23/3.28</f>
        <v>185.99473833676751</v>
      </c>
      <c r="AA23">
        <f>D23/$D$30</f>
        <v>0.95024946363396179</v>
      </c>
      <c r="AB23">
        <f>F23</f>
        <v>0.49631560770926519</v>
      </c>
      <c r="AC23">
        <f>H23/$H$3</f>
        <v>0.29100362532555918</v>
      </c>
      <c r="AD23">
        <f>J23/$J$3</f>
        <v>0.33914628953772669</v>
      </c>
      <c r="AE23">
        <f>L23/$L$3</f>
        <v>0.95720120572223832</v>
      </c>
      <c r="AF23">
        <f>T23/$T$3</f>
        <v>0.3040151052734914</v>
      </c>
      <c r="AG23">
        <f>X23/$X$3</f>
        <v>3.289310243648591</v>
      </c>
    </row>
    <row r="24" spans="3:33" x14ac:dyDescent="0.25">
      <c r="C24" s="41" t="s">
        <v>126</v>
      </c>
      <c r="D24" s="35">
        <f>(1/Gam*(1/M_3^2-1/F24^2)+(Gam+1)/2/Gam*LN((M_3^2/F24^2)*(1+F24^2*(Gam-1)/2)/(1+M_3^2*(Gam-1)/2)))*D/f+L</f>
        <v>119.96765171344123</v>
      </c>
      <c r="E24" s="35">
        <f>D24/3.28</f>
        <v>36.575503571171112</v>
      </c>
      <c r="F24" s="35">
        <f>F23+0.01</f>
        <v>0.5063156077092652</v>
      </c>
      <c r="G24" s="35">
        <f>(Gam/Z/Rg)^0.5*F24*(1+F24^2*(Gam-1)/2)^(-(Gam+1)/2/(Gam-1))</f>
        <v>7.0593015728498423E-2</v>
      </c>
      <c r="H24">
        <f>J24/(1+(Gam-1)/2*F24^2)^(Gam/(Gam-1))</f>
        <v>112.27154992302529</v>
      </c>
      <c r="I24" s="21">
        <f>H24*6.89476</f>
        <v>774.08539154727782</v>
      </c>
      <c r="J24">
        <f>mdot*P24^0.5/A/G24/gc^0.5/144</f>
        <v>133.74306021265923</v>
      </c>
      <c r="K24" s="21">
        <f>J24*6.89476</f>
        <v>922.12630183183433</v>
      </c>
      <c r="L24">
        <f>P24/(1+(Gam-1)/2*F24^2)</f>
        <v>627.49751294070779</v>
      </c>
      <c r="M24">
        <f>L24/1.8</f>
        <v>348.6097294115043</v>
      </c>
      <c r="N24">
        <f>L24-'Example 6.3 - Pipe P1'!$C$8</f>
        <v>167.82751294070778</v>
      </c>
      <c r="O24">
        <f>M24-'Example 6.3 - Pipe P1'!$C$9</f>
        <v>75.459729411504327</v>
      </c>
      <c r="P24">
        <f>P23</f>
        <v>659.67000000000007</v>
      </c>
      <c r="Q24">
        <f>Q23</f>
        <v>366.48333333333335</v>
      </c>
      <c r="R24">
        <f>P24-'Example 6.3 - Pipe P1'!$C$8</f>
        <v>200.00000000000006</v>
      </c>
      <c r="S24">
        <f>Q24-'Example 6.3 - Pipe P1'!$C$9</f>
        <v>93.333333333333371</v>
      </c>
      <c r="T24">
        <f>H24/L24/Rg/Z*144</f>
        <v>0.48290461616972691</v>
      </c>
      <c r="U24">
        <f>T24*16.01846</f>
        <v>7.7353882779301246</v>
      </c>
      <c r="V24">
        <f>(Gam*H24/T24*gc*144)^0.5</f>
        <v>1228.0101975546768</v>
      </c>
      <c r="W24">
        <f>V24/3.28</f>
        <v>374.39335291301126</v>
      </c>
      <c r="X24">
        <f>F24*V24</f>
        <v>621.76072944807095</v>
      </c>
      <c r="Y24">
        <f>X24/3.28</f>
        <v>189.56119800246066</v>
      </c>
      <c r="AA24">
        <f>D24/$D$30</f>
        <v>0.95976149180795089</v>
      </c>
      <c r="AB24">
        <f>F24</f>
        <v>0.5063156077092652</v>
      </c>
      <c r="AC24">
        <f>H24/$H$3</f>
        <v>0.28498396254588187</v>
      </c>
      <c r="AD24">
        <f>J24/$J$3</f>
        <v>0.33435765053164807</v>
      </c>
      <c r="AE24">
        <f>L24/$L$3</f>
        <v>0.95537537828481056</v>
      </c>
      <c r="AF24">
        <f>T24/$T$3</f>
        <v>0.29829527641534448</v>
      </c>
      <c r="AG24">
        <f>X24/$X$3</f>
        <v>3.3523829542899168</v>
      </c>
    </row>
    <row r="25" spans="3:33" x14ac:dyDescent="0.25">
      <c r="C25" s="41" t="s">
        <v>126</v>
      </c>
      <c r="D25" s="35">
        <f>(1/Gam*(1/M_3^2-1/F25^2)+(Gam+1)/2/Gam*LN((M_3^2/F25^2)*(1+F25^2*(Gam-1)/2)/(1+M_3^2*(Gam-1)/2)))*D/f+L</f>
        <v>121.07093420398093</v>
      </c>
      <c r="E25" s="35">
        <f>D25/3.28</f>
        <v>36.911870184140525</v>
      </c>
      <c r="F25" s="35">
        <f>F24+0.01</f>
        <v>0.51631560770926521</v>
      </c>
      <c r="G25" s="35">
        <f>(Gam/Z/Rg)^0.5*F25*(1+F25^2*(Gam-1)/2)^(-(Gam+1)/2/(Gam-1))</f>
        <v>7.1568737883567629E-2</v>
      </c>
      <c r="H25">
        <f>J25/(1+(Gam-1)/2*F25^2)^(Gam/(Gam-1))</f>
        <v>109.99013302218297</v>
      </c>
      <c r="I25" s="21">
        <f>H25*6.89476</f>
        <v>758.35556955602624</v>
      </c>
      <c r="J25">
        <f>mdot*P25^0.5/A/G25/gc^0.5/144</f>
        <v>131.91969332377337</v>
      </c>
      <c r="K25" s="21">
        <f>J25*6.89476</f>
        <v>909.55462474101967</v>
      </c>
      <c r="L25">
        <f>P25/(1+(Gam-1)/2*F25^2)</f>
        <v>626.27907835092037</v>
      </c>
      <c r="M25">
        <f>L25/1.8</f>
        <v>347.93282130606684</v>
      </c>
      <c r="N25">
        <f>L25-'Example 6.3 - Pipe P1'!$C$8</f>
        <v>166.60907835092036</v>
      </c>
      <c r="O25">
        <f>M25-'Example 6.3 - Pipe P1'!$C$9</f>
        <v>74.782821306066865</v>
      </c>
      <c r="P25">
        <f>P24</f>
        <v>659.67000000000007</v>
      </c>
      <c r="Q25">
        <f>Q24</f>
        <v>366.48333333333335</v>
      </c>
      <c r="R25">
        <f>P25-'Example 6.3 - Pipe P1'!$C$8</f>
        <v>200.00000000000006</v>
      </c>
      <c r="S25">
        <f>Q25-'Example 6.3 - Pipe P1'!$C$9</f>
        <v>93.333333333333371</v>
      </c>
      <c r="T25">
        <f>H25/L25/Rg/Z*144</f>
        <v>0.47401214707973161</v>
      </c>
      <c r="U25">
        <f>T25*16.01846</f>
        <v>7.5929446175107982</v>
      </c>
      <c r="V25">
        <f>(Gam*H25/T25*gc*144)^0.5</f>
        <v>1226.8173823584509</v>
      </c>
      <c r="W25">
        <f>V25/3.28</f>
        <v>374.0296897434302</v>
      </c>
      <c r="X25">
        <f>F25*V25</f>
        <v>633.42496232069357</v>
      </c>
      <c r="Y25">
        <f>X25/3.28</f>
        <v>193.11736656118708</v>
      </c>
      <c r="AA25">
        <f>D25/$D$30</f>
        <v>0.96858793821981592</v>
      </c>
      <c r="AB25">
        <f>F25</f>
        <v>0.51631560770926521</v>
      </c>
      <c r="AC25">
        <f>H25/$H$3</f>
        <v>0.27919293864831429</v>
      </c>
      <c r="AD25">
        <f>J25/$J$3</f>
        <v>0.32979923330943345</v>
      </c>
      <c r="AE25">
        <f>L25/$L$3</f>
        <v>0.95352029139900252</v>
      </c>
      <c r="AF25">
        <f>T25/$T$3</f>
        <v>0.29280230443620991</v>
      </c>
      <c r="AG25">
        <f>X25/$X$3</f>
        <v>3.4152736670754598</v>
      </c>
    </row>
    <row r="26" spans="3:33" x14ac:dyDescent="0.25">
      <c r="C26" s="41" t="s">
        <v>126</v>
      </c>
      <c r="D26" s="35">
        <f>(1/Gam*(1/M_3^2-1/F26^2)+(Gam+1)/2/Gam*LN((M_3^2/F26^2)*(1+F26^2*(Gam-1)/2)/(1+M_3^2*(Gam-1)/2)))*D/f+L</f>
        <v>122.09536436576352</v>
      </c>
      <c r="E26" s="35">
        <f>D26/3.28</f>
        <v>37.224196452976685</v>
      </c>
      <c r="F26" s="35">
        <f>F25+0.01</f>
        <v>0.52631560770926522</v>
      </c>
      <c r="G26" s="35">
        <f>(Gam/Z/Rg)^0.5*F26*(1+F26^2*(Gam-1)/2)^(-(Gam+1)/2/(Gam-1))</f>
        <v>7.2523302199054923E-2</v>
      </c>
      <c r="H26">
        <f>J26/(1+(Gam-1)/2*F26^2)^(Gam/(Gam-1))</f>
        <v>107.79367234757677</v>
      </c>
      <c r="I26" s="21">
        <f>H26*6.89476</f>
        <v>743.21150035517837</v>
      </c>
      <c r="J26">
        <f>mdot*P26^0.5/A/G26/gc^0.5/144</f>
        <v>130.18334337915459</v>
      </c>
      <c r="K26" s="21">
        <f>J26*6.89476</f>
        <v>897.58290859685985</v>
      </c>
      <c r="L26">
        <f>P26/(1+(Gam-1)/2*F26^2)</f>
        <v>625.04167620573276</v>
      </c>
      <c r="M26">
        <f>L26/1.8</f>
        <v>347.24537566985151</v>
      </c>
      <c r="N26">
        <f>L26-'Example 6.3 - Pipe P1'!$C$8</f>
        <v>165.37167620573274</v>
      </c>
      <c r="O26">
        <f>M26-'Example 6.3 - Pipe P1'!$C$9</f>
        <v>74.095375669851535</v>
      </c>
      <c r="P26">
        <f>P25</f>
        <v>659.67000000000007</v>
      </c>
      <c r="Q26">
        <f>Q25</f>
        <v>366.48333333333335</v>
      </c>
      <c r="R26">
        <f>P26-'Example 6.3 - Pipe P1'!$C$8</f>
        <v>200.00000000000006</v>
      </c>
      <c r="S26">
        <f>Q26-'Example 6.3 - Pipe P1'!$C$9</f>
        <v>93.333333333333371</v>
      </c>
      <c r="T26">
        <f>H26/L26/Rg/Z*144</f>
        <v>0.46546597434903186</v>
      </c>
      <c r="U26">
        <f>T26*16.01846</f>
        <v>7.4560480914709935</v>
      </c>
      <c r="V26">
        <f>(Gam*H26/T26*gc*144)^0.5</f>
        <v>1225.6048102769535</v>
      </c>
      <c r="W26">
        <f>V26/3.28</f>
        <v>373.66000313321751</v>
      </c>
      <c r="X26">
        <f>F26*V26</f>
        <v>645.05494053231348</v>
      </c>
      <c r="Y26">
        <f>X26/3.28</f>
        <v>196.66309162570533</v>
      </c>
      <c r="AA26">
        <f>D26/$D$30</f>
        <v>0.9767835526732358</v>
      </c>
      <c r="AB26">
        <f>F26</f>
        <v>0.52631560770926522</v>
      </c>
      <c r="AC26">
        <f>H26/$H$3</f>
        <v>0.27361756298943507</v>
      </c>
      <c r="AD26">
        <f>J26/$J$3</f>
        <v>0.32545835844788651</v>
      </c>
      <c r="AE26">
        <f>L26/$L$3</f>
        <v>0.95163632609528537</v>
      </c>
      <c r="AF26">
        <f>T26/$T$3</f>
        <v>0.2875232433718995</v>
      </c>
      <c r="AG26">
        <f>X26/$X$3</f>
        <v>3.4779796870423478</v>
      </c>
    </row>
    <row r="27" spans="3:33" x14ac:dyDescent="0.25">
      <c r="C27" s="41" t="s">
        <v>126</v>
      </c>
      <c r="D27" s="35">
        <f>(1/Gam*(1/M_3^2-1/F27^2)+(Gam+1)/2/Gam*LN((M_3^2/F27^2)*(1+F27^2*(Gam-1)/2)/(1+M_3^2*(Gam-1)/2)))*D/f+L</f>
        <v>123.04713995262075</v>
      </c>
      <c r="E27" s="35">
        <f>D27/3.28</f>
        <v>37.514371936774623</v>
      </c>
      <c r="F27" s="35">
        <f>F26+0.01</f>
        <v>0.53631560770926523</v>
      </c>
      <c r="G27" s="35">
        <f>(Gam/Z/Rg)^0.5*F27*(1+F27^2*(Gam-1)/2)^(-(Gam+1)/2/(Gam-1))</f>
        <v>7.3456592560895137E-2</v>
      </c>
      <c r="H27">
        <f>J27/(1+(Gam-1)/2*F27^2)^(Gam/(Gam-1))</f>
        <v>105.67743201630296</v>
      </c>
      <c r="I27" s="21">
        <f>H27*6.89476</f>
        <v>728.62053116872494</v>
      </c>
      <c r="J27">
        <f>mdot*P27^0.5/A/G27/gc^0.5/144</f>
        <v>128.52932084132479</v>
      </c>
      <c r="K27" s="21">
        <f>J27*6.89476</f>
        <v>886.17882016393253</v>
      </c>
      <c r="L27">
        <f>P27/(1+(Gam-1)/2*F27^2)</f>
        <v>623.78555911834349</v>
      </c>
      <c r="M27">
        <f>L27/1.8</f>
        <v>346.54753284352415</v>
      </c>
      <c r="N27">
        <f>L27-'Example 6.3 - Pipe P1'!$C$8</f>
        <v>164.11555911834347</v>
      </c>
      <c r="O27">
        <f>M27-'Example 6.3 - Pipe P1'!$C$9</f>
        <v>73.397532843524175</v>
      </c>
      <c r="P27">
        <f>P26</f>
        <v>659.67000000000007</v>
      </c>
      <c r="Q27">
        <f>Q26</f>
        <v>366.48333333333335</v>
      </c>
      <c r="R27">
        <f>P27-'Example 6.3 - Pipe P1'!$C$8</f>
        <v>200.00000000000006</v>
      </c>
      <c r="S27">
        <f>Q27-'Example 6.3 - Pipe P1'!$C$9</f>
        <v>93.333333333333371</v>
      </c>
      <c r="T27">
        <f>H27/L27/Rg/Z*144</f>
        <v>0.45724670275737933</v>
      </c>
      <c r="U27">
        <f>T27*16.01846</f>
        <v>7.3243880182509713</v>
      </c>
      <c r="V27">
        <f>(Gam*H27/T27*gc*144)^0.5</f>
        <v>1224.3726705266818</v>
      </c>
      <c r="W27">
        <f>V27/3.28</f>
        <v>373.28435077032981</v>
      </c>
      <c r="X27">
        <f>F27*V27</f>
        <v>656.65017285613328</v>
      </c>
      <c r="Y27">
        <f>X27/3.28</f>
        <v>200.19822343174798</v>
      </c>
      <c r="AA27">
        <f>D27/$D$30</f>
        <v>0.98439791824646927</v>
      </c>
      <c r="AB27">
        <f>F27</f>
        <v>0.53631560770926523</v>
      </c>
      <c r="AC27">
        <f>H27/$H$3</f>
        <v>0.26824581426307198</v>
      </c>
      <c r="AD27">
        <f>J27/$J$3</f>
        <v>0.32132330210331195</v>
      </c>
      <c r="AE27">
        <f>L27/$L$3</f>
        <v>0.94972386698144673</v>
      </c>
      <c r="AF27">
        <f>T27/$T$3</f>
        <v>0.28244611259023172</v>
      </c>
      <c r="AG27">
        <f>X27/$X$3</f>
        <v>3.5404983656149089</v>
      </c>
    </row>
    <row r="28" spans="3:33" x14ac:dyDescent="0.25">
      <c r="C28" s="41" t="s">
        <v>126</v>
      </c>
      <c r="D28" s="35">
        <f>(1/Gam*(1/M_3^2-1/F28^2)+(Gam+1)/2/Gam*LN((M_3^2/F28^2)*(1+F28^2*(Gam-1)/2)/(1+M_3^2*(Gam-1)/2)))*D/f+L</f>
        <v>123.93188390385906</v>
      </c>
      <c r="E28" s="35">
        <f>D28/3.28</f>
        <v>37.784110946298497</v>
      </c>
      <c r="F28" s="35">
        <f>F27+0.01</f>
        <v>0.54631560770926524</v>
      </c>
      <c r="G28" s="35">
        <f>(Gam/Z/Rg)^0.5*F28*(1+F28^2*(Gam-1)/2)^(-(Gam+1)/2/(Gam-1))</f>
        <v>7.4368505455744291E-2</v>
      </c>
      <c r="H28">
        <f>J28/(1+(Gam-1)/2*F28^2)^(Gam/(Gam-1))</f>
        <v>103.63702306638736</v>
      </c>
      <c r="I28" s="21">
        <f>H28*6.89476</f>
        <v>714.55240115720483</v>
      </c>
      <c r="J28">
        <f>mdot*P28^0.5/A/G28/gc^0.5/144</f>
        <v>126.95328345395043</v>
      </c>
      <c r="K28" s="21">
        <f>J28*6.89476</f>
        <v>875.31242062695924</v>
      </c>
      <c r="L28">
        <f>P28/(1+(Gam-1)/2*F28^2)</f>
        <v>622.51098193308815</v>
      </c>
      <c r="M28">
        <f>L28/1.8</f>
        <v>345.8394344072712</v>
      </c>
      <c r="N28">
        <f>L28-'Example 6.3 - Pipe P1'!$C$8</f>
        <v>162.84098193308813</v>
      </c>
      <c r="O28">
        <f>M28-'Example 6.3 - Pipe P1'!$C$9</f>
        <v>72.689434407271222</v>
      </c>
      <c r="P28">
        <f>P27</f>
        <v>659.67000000000007</v>
      </c>
      <c r="Q28">
        <f>Q27</f>
        <v>366.48333333333335</v>
      </c>
      <c r="R28">
        <f>P28-'Example 6.3 - Pipe P1'!$C$8</f>
        <v>200.00000000000006</v>
      </c>
      <c r="S28">
        <f>Q28-'Example 6.3 - Pipe P1'!$C$9</f>
        <v>93.333333333333371</v>
      </c>
      <c r="T28">
        <f>H28/L28/Rg/Z*144</f>
        <v>0.44933635682133638</v>
      </c>
      <c r="U28">
        <f>T28*16.01846</f>
        <v>7.1976764582883046</v>
      </c>
      <c r="V28">
        <f>(Gam*H28/T28*gc*144)^0.5</f>
        <v>1223.1211543332467</v>
      </c>
      <c r="W28">
        <f>V28/3.28</f>
        <v>372.90279095525818</v>
      </c>
      <c r="X28">
        <f>F28*V28</f>
        <v>668.21017673162567</v>
      </c>
      <c r="Y28">
        <f>X28/3.28</f>
        <v>203.72261485720296</v>
      </c>
      <c r="AA28">
        <f>D28/$D$30</f>
        <v>0.99147601940441166</v>
      </c>
      <c r="AB28">
        <f>F28</f>
        <v>0.54631560770926524</v>
      </c>
      <c r="AC28">
        <f>H28/$H$3</f>
        <v>0.26306655176816834</v>
      </c>
      <c r="AD28">
        <f>J28/$J$3</f>
        <v>0.31738320863487607</v>
      </c>
      <c r="AE28">
        <f>L28/$L$3</f>
        <v>0.94778330206221728</v>
      </c>
      <c r="AF28">
        <f>T28/$T$3</f>
        <v>0.27755980844543227</v>
      </c>
      <c r="AG28">
        <f>X28/$X$3</f>
        <v>3.602827100943895</v>
      </c>
    </row>
    <row r="29" spans="3:33" x14ac:dyDescent="0.25">
      <c r="C29" s="41" t="s">
        <v>126</v>
      </c>
      <c r="D29" s="35">
        <f>(1/Gam*(1/M_3^2-1/F29^2)+(Gam+1)/2/Gam*LN((M_3^2/F29^2)*(1+F29^2*(Gam-1)/2)/(1+M_3^2*(Gam-1)/2)))*D/f+L</f>
        <v>124.7547064496147</v>
      </c>
      <c r="E29" s="35">
        <f>D29/3.28</f>
        <v>38.034971478541067</v>
      </c>
      <c r="F29" s="35">
        <f>F28+0.01</f>
        <v>0.55631560770926525</v>
      </c>
      <c r="G29" s="35">
        <f>(Gam/Z/Rg)^0.5*F29*(1+F29^2*(Gam-1)/2)^(-(Gam+1)/2/(Gam-1))</f>
        <v>7.5258949872630154E-2</v>
      </c>
      <c r="H29">
        <f>J29/(1+(Gam-1)/2*F29^2)^(Gam/(Gam-1))</f>
        <v>101.66837227025532</v>
      </c>
      <c r="I29" s="21">
        <f>H29*6.89476</f>
        <v>700.9790263940655</v>
      </c>
      <c r="J29">
        <f>mdot*P29^0.5/A/G29/gc^0.5/144</f>
        <v>125.45120506130453</v>
      </c>
      <c r="K29" s="21">
        <f>J29*6.89476</f>
        <v>864.95595060848007</v>
      </c>
      <c r="L29">
        <f>P29/(1+(Gam-1)/2*F29^2)</f>
        <v>621.21820160711559</v>
      </c>
      <c r="M29">
        <f>L29/1.8</f>
        <v>345.1212231150642</v>
      </c>
      <c r="N29">
        <f>L29-'Example 6.3 - Pipe P1'!$C$8</f>
        <v>161.54820160711557</v>
      </c>
      <c r="O29">
        <f>M29-'Example 6.3 - Pipe P1'!$C$9</f>
        <v>71.97122311506422</v>
      </c>
      <c r="P29">
        <f>P28</f>
        <v>659.67000000000007</v>
      </c>
      <c r="Q29">
        <f>Q28</f>
        <v>366.48333333333335</v>
      </c>
      <c r="R29">
        <f>P29-'Example 6.3 - Pipe P1'!$C$8</f>
        <v>200.00000000000006</v>
      </c>
      <c r="S29">
        <f>Q29-'Example 6.3 - Pipe P1'!$C$9</f>
        <v>93.333333333333371</v>
      </c>
      <c r="T29">
        <f>H29/L29/Rg/Z*144</f>
        <v>0.44171825319845603</v>
      </c>
      <c r="U29">
        <f>T29*16.01846</f>
        <v>7.0756461701293407</v>
      </c>
      <c r="V29">
        <f>(Gam*H29/T29*gc*144)^0.5</f>
        <v>1221.8504548556139</v>
      </c>
      <c r="W29">
        <f>V29/3.28</f>
        <v>372.51538257793106</v>
      </c>
      <c r="X29">
        <f>F29*V29</f>
        <v>679.73447832284296</v>
      </c>
      <c r="Y29">
        <f>X29/3.28</f>
        <v>207.23612143989115</v>
      </c>
      <c r="AA29">
        <f>D29/$D$30</f>
        <v>0.99805873885193397</v>
      </c>
      <c r="AB29">
        <f>F29</f>
        <v>0.55631560770926525</v>
      </c>
      <c r="AC29">
        <f>H29/$H$3</f>
        <v>0.25806943624660061</v>
      </c>
      <c r="AD29">
        <f>J29/$J$3</f>
        <v>0.31362801265326135</v>
      </c>
      <c r="AE29">
        <f>L29/$L$3</f>
        <v>0.94581502255912075</v>
      </c>
      <c r="AF29">
        <f>T29/$T$3</f>
        <v>0.2728540254608498</v>
      </c>
      <c r="AG29">
        <f>X29/$X$3</f>
        <v>3.6649633382208742</v>
      </c>
    </row>
    <row r="30" spans="3:33" x14ac:dyDescent="0.25">
      <c r="C30" s="41" t="s">
        <v>126</v>
      </c>
      <c r="D30" s="35">
        <f>(1/Gam*(1/M_3^2-1/F30^2)+(Gam+1)/2/Gam*LN((M_3^2/F30^2)*(1+F30^2*(Gam-1)/2)/(1+M_3^2*(Gam-1)/2)))*D/f+L</f>
        <v>124.99735896618662</v>
      </c>
      <c r="E30" s="35">
        <f>D30/3.28</f>
        <v>38.108950904325191</v>
      </c>
      <c r="F30" s="35">
        <v>0.55940802804528633</v>
      </c>
      <c r="G30" s="35">
        <f>(Gam/Z/Rg)^0.5*F30*(1+F30^2*(Gam-1)/2)^(-(Gam+1)/2/(Gam-1))</f>
        <v>7.5529954132892665E-2</v>
      </c>
      <c r="H30">
        <f>J30/(1+(Gam-1)/2*F30^2)^(Gam/(Gam-1))</f>
        <v>101.073512009151</v>
      </c>
      <c r="I30" s="21">
        <f>H30*6.89476</f>
        <v>696.87760766021393</v>
      </c>
      <c r="J30">
        <f>mdot*P30^0.5/A/G30/gc^0.5/144</f>
        <v>125.00108151208509</v>
      </c>
      <c r="K30" s="21">
        <f>J30*6.89476</f>
        <v>861.8524567662638</v>
      </c>
      <c r="L30">
        <f>P30/(1+(Gam-1)/2*F30^2)</f>
        <v>620.81477491258352</v>
      </c>
      <c r="M30">
        <f>L30/1.8</f>
        <v>344.89709717365753</v>
      </c>
      <c r="N30">
        <f>L30-'Example 6.3 - Pipe P1'!$C$8</f>
        <v>161.1447749125835</v>
      </c>
      <c r="O30">
        <f>M30-'Example 6.3 - Pipe P1'!$C$9</f>
        <v>71.747097173657551</v>
      </c>
      <c r="P30">
        <f>P29</f>
        <v>659.67000000000007</v>
      </c>
      <c r="Q30">
        <f>Q29</f>
        <v>366.48333333333335</v>
      </c>
      <c r="R30">
        <f>P30-'Example 6.3 - Pipe P1'!$C$8</f>
        <v>200.00000000000006</v>
      </c>
      <c r="S30">
        <f>Q30-'Example 6.3 - Pipe P1'!$C$9</f>
        <v>93.333333333333371</v>
      </c>
      <c r="T30">
        <f>H30/L30/Rg/Z*144</f>
        <v>0.43941912987145826</v>
      </c>
      <c r="U30">
        <f>T30*16.01846</f>
        <v>7.0388177550807596</v>
      </c>
      <c r="V30">
        <f>(Gam*H30/T30*gc*144)^0.5</f>
        <v>1221.4536481110956</v>
      </c>
      <c r="W30">
        <f>V30/3.28</f>
        <v>372.39440491191942</v>
      </c>
      <c r="X30">
        <f>F30*V30</f>
        <v>683.29097663854907</v>
      </c>
      <c r="Y30">
        <f>X30/3.28</f>
        <v>208.32041970687473</v>
      </c>
      <c r="AA30">
        <f>D30/$D$30</f>
        <v>1</v>
      </c>
      <c r="AB30">
        <f>F30</f>
        <v>0.55940802804528633</v>
      </c>
      <c r="AC30">
        <f>H30/$H$3</f>
        <v>0.25655947549085428</v>
      </c>
      <c r="AD30">
        <f>J30/$J$3</f>
        <v>0.31250270378021272</v>
      </c>
      <c r="AE30">
        <f>L30/$L$3</f>
        <v>0.94520079872085805</v>
      </c>
      <c r="AF30">
        <f>T30/$T$3</f>
        <v>0.27143383272428107</v>
      </c>
      <c r="AG30">
        <f>X30/$X$3</f>
        <v>3.6841391139909483</v>
      </c>
    </row>
    <row r="31" spans="3:33" x14ac:dyDescent="0.25">
      <c r="C31" s="40" t="s">
        <v>127</v>
      </c>
      <c r="D31" s="35"/>
      <c r="E31" s="35"/>
      <c r="F31" s="35"/>
      <c r="G31" s="35"/>
      <c r="I31" s="21"/>
      <c r="K31" s="21"/>
    </row>
    <row r="32" spans="3:33" x14ac:dyDescent="0.25">
      <c r="I32" s="21"/>
      <c r="K32" s="21"/>
    </row>
    <row r="33" spans="9:11" x14ac:dyDescent="0.25">
      <c r="I33" s="21"/>
      <c r="K33" s="21"/>
    </row>
    <row r="34" spans="9:11" x14ac:dyDescent="0.25">
      <c r="I34" s="21"/>
      <c r="K34" s="21"/>
    </row>
    <row r="35" spans="9:11" x14ac:dyDescent="0.25">
      <c r="I35" s="21"/>
      <c r="K35" s="21"/>
    </row>
    <row r="36" spans="9:11" x14ac:dyDescent="0.25">
      <c r="I36" s="21"/>
      <c r="K36" s="21"/>
    </row>
    <row r="37" spans="9:11" x14ac:dyDescent="0.25">
      <c r="I37" s="21"/>
      <c r="K37" s="21"/>
    </row>
    <row r="38" spans="9:11" x14ac:dyDescent="0.25">
      <c r="I38" s="21"/>
      <c r="K38" s="21"/>
    </row>
    <row r="39" spans="9:11" x14ac:dyDescent="0.25">
      <c r="I39" s="21"/>
      <c r="K39" s="21"/>
    </row>
    <row r="40" spans="9:11" x14ac:dyDescent="0.25">
      <c r="I40" s="21"/>
      <c r="K40" s="21"/>
    </row>
    <row r="41" spans="9:11" x14ac:dyDescent="0.25">
      <c r="I41" s="21"/>
      <c r="K41" s="21"/>
    </row>
    <row r="42" spans="9:11" x14ac:dyDescent="0.25">
      <c r="I42" s="21"/>
      <c r="K42" s="21"/>
    </row>
    <row r="43" spans="9:11" x14ac:dyDescent="0.25">
      <c r="I43" s="21"/>
      <c r="K43" s="21"/>
    </row>
    <row r="44" spans="9:11" x14ac:dyDescent="0.25">
      <c r="I44" s="21"/>
      <c r="K44" s="21"/>
    </row>
    <row r="45" spans="9:11" x14ac:dyDescent="0.25">
      <c r="I45" s="21"/>
      <c r="K45" s="21"/>
    </row>
    <row r="46" spans="9:11" x14ac:dyDescent="0.25">
      <c r="I46" s="21"/>
      <c r="K46" s="21"/>
    </row>
    <row r="47" spans="9:11" x14ac:dyDescent="0.25">
      <c r="I47" s="21"/>
      <c r="K47" s="21"/>
    </row>
    <row r="48" spans="9:11" x14ac:dyDescent="0.25">
      <c r="I48" s="21"/>
      <c r="K48" s="21"/>
    </row>
    <row r="49" spans="9:11" x14ac:dyDescent="0.25">
      <c r="I49" s="21"/>
      <c r="K49" s="21"/>
    </row>
    <row r="50" spans="9:11" x14ac:dyDescent="0.25">
      <c r="I50" s="21"/>
      <c r="K50" s="21"/>
    </row>
    <row r="51" spans="9:11" x14ac:dyDescent="0.25">
      <c r="I51" s="21"/>
      <c r="K51" s="21"/>
    </row>
    <row r="52" spans="9:11" x14ac:dyDescent="0.25">
      <c r="I52" s="21"/>
      <c r="K52" s="21"/>
    </row>
    <row r="53" spans="9:11" x14ac:dyDescent="0.25">
      <c r="I53" s="21"/>
      <c r="K53" s="21"/>
    </row>
    <row r="54" spans="9:11" x14ac:dyDescent="0.25">
      <c r="I54" s="21"/>
      <c r="K54" s="21"/>
    </row>
    <row r="55" spans="9:11" x14ac:dyDescent="0.25">
      <c r="I55" s="21"/>
      <c r="K55" s="21"/>
    </row>
    <row r="56" spans="9:11" x14ac:dyDescent="0.25">
      <c r="I56" s="21"/>
      <c r="K56" s="21"/>
    </row>
    <row r="57" spans="9:11" x14ac:dyDescent="0.25">
      <c r="I57" s="21"/>
      <c r="K57" s="21"/>
    </row>
    <row r="58" spans="9:11" x14ac:dyDescent="0.25">
      <c r="I58" s="21"/>
      <c r="K58" s="21"/>
    </row>
    <row r="59" spans="9:11" x14ac:dyDescent="0.25">
      <c r="I59" s="21"/>
      <c r="K59" s="21"/>
    </row>
    <row r="60" spans="9:11" x14ac:dyDescent="0.25">
      <c r="I60" s="21"/>
      <c r="K60" s="21"/>
    </row>
    <row r="61" spans="9:11" x14ac:dyDescent="0.25">
      <c r="I61" s="21"/>
      <c r="K61" s="21"/>
    </row>
    <row r="62" spans="9:11" x14ac:dyDescent="0.25">
      <c r="I62" s="21"/>
      <c r="K62" s="21"/>
    </row>
    <row r="63" spans="9:11" x14ac:dyDescent="0.25">
      <c r="I63" s="21"/>
      <c r="K63" s="21"/>
    </row>
    <row r="64" spans="9:11" x14ac:dyDescent="0.25">
      <c r="I64" s="21"/>
      <c r="K64" s="21"/>
    </row>
    <row r="65" spans="9:11" x14ac:dyDescent="0.25">
      <c r="I65" s="21"/>
      <c r="K65" s="21"/>
    </row>
    <row r="66" spans="9:11" x14ac:dyDescent="0.25">
      <c r="I66" s="21"/>
      <c r="K66" s="21"/>
    </row>
    <row r="67" spans="9:11" x14ac:dyDescent="0.25">
      <c r="I67" s="21"/>
      <c r="K67" s="21"/>
    </row>
    <row r="68" spans="9:11" x14ac:dyDescent="0.25">
      <c r="I68" s="21"/>
      <c r="K68" s="21"/>
    </row>
    <row r="69" spans="9:11" x14ac:dyDescent="0.25">
      <c r="I69" s="21"/>
      <c r="K69" s="21"/>
    </row>
    <row r="70" spans="9:11" x14ac:dyDescent="0.25">
      <c r="I70" s="21"/>
      <c r="K70" s="21"/>
    </row>
    <row r="71" spans="9:11" x14ac:dyDescent="0.25">
      <c r="I71" s="21"/>
      <c r="K71" s="21"/>
    </row>
    <row r="72" spans="9:11" x14ac:dyDescent="0.25">
      <c r="I72" s="21"/>
      <c r="K72" s="21"/>
    </row>
    <row r="73" spans="9:11" x14ac:dyDescent="0.25">
      <c r="I73" s="21"/>
      <c r="K73" s="21"/>
    </row>
    <row r="74" spans="9:11" x14ac:dyDescent="0.25">
      <c r="I74" s="21"/>
      <c r="K74" s="21"/>
    </row>
    <row r="75" spans="9:11" x14ac:dyDescent="0.25">
      <c r="I75" s="21"/>
      <c r="K75" s="21"/>
    </row>
    <row r="76" spans="9:11" x14ac:dyDescent="0.25">
      <c r="I76" s="21"/>
      <c r="K76" s="21"/>
    </row>
    <row r="77" spans="9:11" x14ac:dyDescent="0.25">
      <c r="I77" s="21"/>
      <c r="K77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32</vt:i4>
      </vt:variant>
    </vt:vector>
  </HeadingPairs>
  <TitlesOfParts>
    <vt:vector size="34" baseType="lpstr">
      <vt:lpstr>Example 6.3 - Pipe P1</vt:lpstr>
      <vt:lpstr>Graph Data</vt:lpstr>
      <vt:lpstr>A</vt:lpstr>
      <vt:lpstr>c_1</vt:lpstr>
      <vt:lpstr>c_2</vt:lpstr>
      <vt:lpstr>CdA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M_3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2024-04-22T22:56:12Z</dcterms:modified>
</cp:coreProperties>
</file>